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2.xml" ContentType="application/vnd.openxmlformats-officedocument.spreadsheetml.comments+xml"/>
  <Override PartName="/xl/drawings/drawing1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omments13.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aveExternalLinkValues="0"/>
  <bookViews>
    <workbookView xWindow="-15" yWindow="-15" windowWidth="9600" windowHeight="8145" tabRatio="893" activeTab="1"/>
  </bookViews>
  <sheets>
    <sheet name="toel" sheetId="7" r:id="rId1"/>
    <sheet name="geg LO" sheetId="1" r:id="rId2"/>
    <sheet name="LWOO-PRO" sheetId="29" r:id="rId3"/>
    <sheet name="geg ZO" sheetId="31" r:id="rId4"/>
    <sheet name="herbest" sheetId="47" r:id="rId5"/>
    <sheet name="pers" sheetId="18" r:id="rId6"/>
    <sheet name="overdr VSO" sheetId="24" r:id="rId7"/>
    <sheet name="peild VSO" sheetId="44" r:id="rId8"/>
    <sheet name="sal SWV" sheetId="13" r:id="rId9"/>
    <sheet name="mat" sheetId="35" r:id="rId10"/>
    <sheet name="project" sheetId="48" r:id="rId11"/>
    <sheet name="mip" sheetId="36" r:id="rId12"/>
    <sheet name="act" sheetId="37" r:id="rId13"/>
    <sheet name="begr" sheetId="38" r:id="rId14"/>
    <sheet name="bal" sheetId="39" r:id="rId15"/>
    <sheet name="liq" sheetId="40" r:id="rId16"/>
    <sheet name="ken" sheetId="49" state="hidden" r:id="rId17"/>
    <sheet name="graf" sheetId="51" state="hidden" r:id="rId18"/>
    <sheet name="tab" sheetId="22" r:id="rId19"/>
    <sheet name="Li O school" sheetId="53" state="hidden" r:id="rId20"/>
    <sheet name="Zw O school" sheetId="43" state="hidden" r:id="rId21"/>
    <sheet name="hlpbl" sheetId="28" state="hidden" r:id="rId22"/>
  </sheets>
  <definedNames>
    <definedName name="_xlnm._FilterDatabase" localSheetId="11" hidden="1">mip!$D$14:$I$17</definedName>
    <definedName name="_xlnm._FilterDatabase" localSheetId="8" hidden="1">'sal SWV'!$I$79:$I$98</definedName>
    <definedName name="_xlnm.Print_Area" localSheetId="12">act!$B$2:$P$46</definedName>
    <definedName name="_xlnm.Print_Area" localSheetId="14">bal!$B$2:$P$71</definedName>
    <definedName name="_xlnm.Print_Area" localSheetId="13">begr!$B$2:$M$87</definedName>
    <definedName name="_xlnm.Print_Area" localSheetId="1">'geg LO'!$B$2:$N$48</definedName>
    <definedName name="_xlnm.Print_Area" localSheetId="3">'geg ZO'!$B$2:$Q$58</definedName>
    <definedName name="_xlnm.Print_Area" localSheetId="17">graf!$B$2:$R$185</definedName>
    <definedName name="_xlnm.Print_Area" localSheetId="4">herbest!$B$2:$M$91</definedName>
    <definedName name="_xlnm.Print_Area" localSheetId="21">hlpbl!$B$2:$L$46</definedName>
    <definedName name="_xlnm.Print_Area" localSheetId="16">ken!$B$2:$L$125</definedName>
    <definedName name="_xlnm.Print_Area" localSheetId="19">'Li O school'!$B$2:$R$144,'Li O school'!$T$2:$AL$144</definedName>
    <definedName name="_xlnm.Print_Area" localSheetId="15">liq!$B$2:$M$55</definedName>
    <definedName name="_xlnm.Print_Area" localSheetId="2">'LWOO-PRO'!$B$2:$U$44,'LWOO-PRO'!$B$46:$AB$110</definedName>
    <definedName name="_xlnm.Print_Area" localSheetId="9">mat!$B$2:$Q$237</definedName>
    <definedName name="_xlnm.Print_Area" localSheetId="11">mip!$B$2:$Z$72</definedName>
    <definedName name="_xlnm.Print_Area" localSheetId="6">'overdr VSO'!$B$2:$P$269</definedName>
    <definedName name="_xlnm.Print_Area" localSheetId="7">'peild VSO'!$B$2:$P$49</definedName>
    <definedName name="_xlnm.Print_Area" localSheetId="5">pers!$B$2:$O$281</definedName>
    <definedName name="_xlnm.Print_Area" localSheetId="10">project!$B$2:$P$222</definedName>
    <definedName name="_xlnm.Print_Area" localSheetId="8">'sal SWV'!$B$2:$W$133</definedName>
    <definedName name="_xlnm.Print_Area" localSheetId="0">toel!$B$2:$O$269</definedName>
    <definedName name="_xlnm.Print_Area" localSheetId="20">'Zw O school'!$B$2:$Z$144,'Zw O school'!$AB$2:$AM$144</definedName>
    <definedName name="_xlnm.Print_Area">'LWOO-PRO'!$B$2:$U$44</definedName>
    <definedName name="basisbedragMat">tab!$A$85:$F$85</definedName>
    <definedName name="basisbedragPers">tab!$A$76:$G$76</definedName>
    <definedName name="categorieMatVSO">tab!$A$68:$F$70</definedName>
    <definedName name="categoriePersVSO">tab!$A$63:$E$65</definedName>
    <definedName name="_xlnm.Criteria" localSheetId="8">'sal SWV'!$D$296:$D$321</definedName>
    <definedName name="rugzakpersLWOOPRO1415">tab!$A$134:$G$139</definedName>
    <definedName name="rugzakpersLWOOPRO1516">tab!#REF!</definedName>
    <definedName name="rugzakpersOverigVO1415">tab!$A$126:$E$131</definedName>
    <definedName name="rugzakpersOverigVO1516">tab!#REF!</definedName>
    <definedName name="tabelsalaris2014VOb">tab!$A$143:$S$167</definedName>
    <definedName name="tabelsalaris2015VO">tab!$A$172:$S$196</definedName>
    <definedName name="tabelsalaris2016VO">tab!$A$230:$S$254</definedName>
    <definedName name="Verhoudingstabel_LB">tab!$T$172:$U$196</definedName>
  </definedNames>
  <calcPr calcId="152511"/>
</workbook>
</file>

<file path=xl/calcChain.xml><?xml version="1.0" encoding="utf-8"?>
<calcChain xmlns="http://schemas.openxmlformats.org/spreadsheetml/2006/main">
  <c r="F62" i="22" l="1"/>
  <c r="D20" i="22" l="1"/>
  <c r="J58" i="29"/>
  <c r="K58" i="29" s="1"/>
  <c r="L58" i="29" s="1"/>
  <c r="I58" i="29"/>
  <c r="I57" i="29"/>
  <c r="J57" i="29" s="1"/>
  <c r="K57" i="29" s="1"/>
  <c r="L57" i="29" s="1"/>
  <c r="E15" i="22" l="1"/>
  <c r="G33" i="1"/>
  <c r="G32" i="1"/>
  <c r="F24" i="1"/>
  <c r="J56" i="22" l="1"/>
  <c r="F52" i="22"/>
  <c r="G52" i="22"/>
  <c r="H52" i="22"/>
  <c r="I52" i="22"/>
  <c r="J52" i="22"/>
  <c r="E52" i="22"/>
  <c r="F56" i="22"/>
  <c r="G56" i="22"/>
  <c r="H56" i="22"/>
  <c r="I56" i="22"/>
  <c r="E56" i="22"/>
  <c r="L145" i="35" l="1"/>
  <c r="M145" i="35"/>
  <c r="N145" i="35" s="1"/>
  <c r="O145" i="35" s="1"/>
  <c r="L146" i="35"/>
  <c r="M146" i="35"/>
  <c r="N146" i="35" s="1"/>
  <c r="O146" i="35" s="1"/>
  <c r="L147" i="35"/>
  <c r="M147" i="35"/>
  <c r="N147" i="35" s="1"/>
  <c r="O147" i="35" s="1"/>
  <c r="L148" i="35"/>
  <c r="M148" i="35"/>
  <c r="N148" i="35" s="1"/>
  <c r="O148" i="35" s="1"/>
  <c r="L149" i="35"/>
  <c r="M149" i="35"/>
  <c r="N149" i="35" s="1"/>
  <c r="O149" i="35" s="1"/>
  <c r="L150" i="35"/>
  <c r="M150" i="35"/>
  <c r="N150" i="35" s="1"/>
  <c r="O150" i="35" s="1"/>
  <c r="L151" i="35"/>
  <c r="M151" i="35"/>
  <c r="N151" i="35" s="1"/>
  <c r="O151" i="35" s="1"/>
  <c r="L152" i="35"/>
  <c r="M152" i="35"/>
  <c r="N152" i="35" s="1"/>
  <c r="O152" i="35" s="1"/>
  <c r="K146" i="35"/>
  <c r="K147" i="35"/>
  <c r="K148" i="35"/>
  <c r="K149" i="35"/>
  <c r="K145" i="35"/>
  <c r="L121" i="35"/>
  <c r="M121" i="35"/>
  <c r="N121" i="35" s="1"/>
  <c r="O121" i="35" s="1"/>
  <c r="L122" i="35"/>
  <c r="M122" i="35"/>
  <c r="N122" i="35" s="1"/>
  <c r="O122" i="35" s="1"/>
  <c r="L123" i="35"/>
  <c r="M123" i="35"/>
  <c r="N123" i="35" s="1"/>
  <c r="O123" i="35" s="1"/>
  <c r="K122" i="35"/>
  <c r="K123" i="35"/>
  <c r="K121" i="35"/>
  <c r="L75" i="35"/>
  <c r="M75" i="35" s="1"/>
  <c r="N75" i="35" s="1"/>
  <c r="O75" i="35" s="1"/>
  <c r="L76" i="35"/>
  <c r="M76" i="35" s="1"/>
  <c r="N76" i="35" s="1"/>
  <c r="O76" i="35" s="1"/>
  <c r="L77" i="35"/>
  <c r="M77" i="35" s="1"/>
  <c r="N77" i="35" s="1"/>
  <c r="O77" i="35" s="1"/>
  <c r="L78" i="35"/>
  <c r="M78" i="35" s="1"/>
  <c r="N78" i="35" s="1"/>
  <c r="O78" i="35" s="1"/>
  <c r="L79" i="35"/>
  <c r="M79" i="35" s="1"/>
  <c r="N79" i="35" s="1"/>
  <c r="O79" i="35" s="1"/>
  <c r="L80" i="35"/>
  <c r="M80" i="35" s="1"/>
  <c r="N80" i="35" s="1"/>
  <c r="O80" i="35" s="1"/>
  <c r="K76" i="35"/>
  <c r="K77" i="35"/>
  <c r="K78" i="35"/>
  <c r="K79" i="35"/>
  <c r="K80" i="35"/>
  <c r="I201" i="48"/>
  <c r="J201" i="48" s="1"/>
  <c r="K201" i="48" s="1"/>
  <c r="L201" i="48" s="1"/>
  <c r="M201" i="48" s="1"/>
  <c r="N201" i="48" s="1"/>
  <c r="I200" i="48"/>
  <c r="J200" i="48" s="1"/>
  <c r="K200" i="48" s="1"/>
  <c r="L200" i="48" s="1"/>
  <c r="M200" i="48" s="1"/>
  <c r="N200" i="48" s="1"/>
  <c r="I199" i="48"/>
  <c r="J199" i="48" s="1"/>
  <c r="K199" i="48" s="1"/>
  <c r="L199" i="48" s="1"/>
  <c r="M199" i="48" s="1"/>
  <c r="N199" i="48" s="1"/>
  <c r="I198" i="48"/>
  <c r="J198" i="48" s="1"/>
  <c r="K198" i="48" s="1"/>
  <c r="L198" i="48" s="1"/>
  <c r="M198" i="48" s="1"/>
  <c r="N198" i="48" s="1"/>
  <c r="I197" i="48"/>
  <c r="J197" i="48" s="1"/>
  <c r="K197" i="48" s="1"/>
  <c r="L197" i="48" s="1"/>
  <c r="M197" i="48" s="1"/>
  <c r="N197" i="48" s="1"/>
  <c r="I181" i="48"/>
  <c r="J181" i="48" s="1"/>
  <c r="K181" i="48" s="1"/>
  <c r="L181" i="48" s="1"/>
  <c r="M181" i="48" s="1"/>
  <c r="N181" i="48" s="1"/>
  <c r="I180" i="48"/>
  <c r="J180" i="48" s="1"/>
  <c r="K180" i="48" s="1"/>
  <c r="L180" i="48" s="1"/>
  <c r="M180" i="48" s="1"/>
  <c r="N180" i="48" s="1"/>
  <c r="I179" i="48"/>
  <c r="J179" i="48" s="1"/>
  <c r="K179" i="48" s="1"/>
  <c r="L179" i="48" s="1"/>
  <c r="M179" i="48" s="1"/>
  <c r="N179" i="48" s="1"/>
  <c r="I178" i="48"/>
  <c r="J178" i="48" s="1"/>
  <c r="K178" i="48" s="1"/>
  <c r="L178" i="48" s="1"/>
  <c r="M178" i="48" s="1"/>
  <c r="N178" i="48" s="1"/>
  <c r="I177" i="48"/>
  <c r="J177" i="48" s="1"/>
  <c r="K177" i="48" s="1"/>
  <c r="L177" i="48" s="1"/>
  <c r="M177" i="48" s="1"/>
  <c r="N177" i="48" s="1"/>
  <c r="I161" i="48"/>
  <c r="J161" i="48" s="1"/>
  <c r="K161" i="48" s="1"/>
  <c r="L161" i="48" s="1"/>
  <c r="M161" i="48" s="1"/>
  <c r="N161" i="48" s="1"/>
  <c r="I160" i="48"/>
  <c r="J160" i="48" s="1"/>
  <c r="K160" i="48" s="1"/>
  <c r="L160" i="48" s="1"/>
  <c r="M160" i="48" s="1"/>
  <c r="N160" i="48" s="1"/>
  <c r="I159" i="48"/>
  <c r="J159" i="48" s="1"/>
  <c r="K159" i="48" s="1"/>
  <c r="L159" i="48" s="1"/>
  <c r="M159" i="48" s="1"/>
  <c r="N159" i="48" s="1"/>
  <c r="I158" i="48"/>
  <c r="J158" i="48" s="1"/>
  <c r="K158" i="48" s="1"/>
  <c r="L158" i="48" s="1"/>
  <c r="M158" i="48" s="1"/>
  <c r="N158" i="48" s="1"/>
  <c r="I157" i="48"/>
  <c r="J157" i="48" s="1"/>
  <c r="K157" i="48" s="1"/>
  <c r="L157" i="48" s="1"/>
  <c r="M157" i="48" s="1"/>
  <c r="N157" i="48" s="1"/>
  <c r="I141" i="48"/>
  <c r="J141" i="48" s="1"/>
  <c r="K141" i="48" s="1"/>
  <c r="L141" i="48" s="1"/>
  <c r="M141" i="48" s="1"/>
  <c r="N141" i="48" s="1"/>
  <c r="I140" i="48"/>
  <c r="J140" i="48" s="1"/>
  <c r="K140" i="48" s="1"/>
  <c r="L140" i="48" s="1"/>
  <c r="M140" i="48" s="1"/>
  <c r="N140" i="48" s="1"/>
  <c r="I139" i="48"/>
  <c r="J139" i="48" s="1"/>
  <c r="K139" i="48" s="1"/>
  <c r="L139" i="48" s="1"/>
  <c r="M139" i="48" s="1"/>
  <c r="N139" i="48" s="1"/>
  <c r="I138" i="48"/>
  <c r="J138" i="48" s="1"/>
  <c r="K138" i="48" s="1"/>
  <c r="L138" i="48" s="1"/>
  <c r="M138" i="48" s="1"/>
  <c r="N138" i="48" s="1"/>
  <c r="I137" i="48"/>
  <c r="J137" i="48" s="1"/>
  <c r="K137" i="48" s="1"/>
  <c r="L137" i="48" s="1"/>
  <c r="M137" i="48" s="1"/>
  <c r="N137" i="48" s="1"/>
  <c r="J121" i="48"/>
  <c r="K121" i="48" s="1"/>
  <c r="L121" i="48" s="1"/>
  <c r="M121" i="48" s="1"/>
  <c r="N121" i="48" s="1"/>
  <c r="I121" i="48"/>
  <c r="I120" i="48"/>
  <c r="J120" i="48" s="1"/>
  <c r="K120" i="48" s="1"/>
  <c r="L120" i="48" s="1"/>
  <c r="M120" i="48" s="1"/>
  <c r="N120" i="48" s="1"/>
  <c r="J119" i="48"/>
  <c r="K119" i="48" s="1"/>
  <c r="L119" i="48" s="1"/>
  <c r="M119" i="48" s="1"/>
  <c r="N119" i="48" s="1"/>
  <c r="I119" i="48"/>
  <c r="I118" i="48"/>
  <c r="J118" i="48" s="1"/>
  <c r="K118" i="48" s="1"/>
  <c r="L118" i="48" s="1"/>
  <c r="M118" i="48" s="1"/>
  <c r="N118" i="48" s="1"/>
  <c r="J117" i="48"/>
  <c r="K117" i="48" s="1"/>
  <c r="L117" i="48" s="1"/>
  <c r="M117" i="48" s="1"/>
  <c r="N117" i="48" s="1"/>
  <c r="I117" i="48"/>
  <c r="I98" i="48"/>
  <c r="J98" i="48" s="1"/>
  <c r="K98" i="48" s="1"/>
  <c r="L98" i="48" s="1"/>
  <c r="M98" i="48" s="1"/>
  <c r="N98" i="48" s="1"/>
  <c r="I97" i="48"/>
  <c r="J97" i="48" s="1"/>
  <c r="K97" i="48" s="1"/>
  <c r="L97" i="48" s="1"/>
  <c r="M97" i="48" s="1"/>
  <c r="N97" i="48" s="1"/>
  <c r="I96" i="48"/>
  <c r="J96" i="48" s="1"/>
  <c r="K96" i="48" s="1"/>
  <c r="L96" i="48" s="1"/>
  <c r="M96" i="48" s="1"/>
  <c r="N96" i="48" s="1"/>
  <c r="I95" i="48"/>
  <c r="J95" i="48" s="1"/>
  <c r="K95" i="48" s="1"/>
  <c r="L95" i="48" s="1"/>
  <c r="M95" i="48" s="1"/>
  <c r="N95" i="48" s="1"/>
  <c r="I94" i="48"/>
  <c r="J94" i="48" s="1"/>
  <c r="K94" i="48" s="1"/>
  <c r="L94" i="48" s="1"/>
  <c r="M94" i="48" s="1"/>
  <c r="N94" i="48" s="1"/>
  <c r="I78" i="48"/>
  <c r="J78" i="48" s="1"/>
  <c r="K78" i="48" s="1"/>
  <c r="L78" i="48" s="1"/>
  <c r="M78" i="48" s="1"/>
  <c r="N78" i="48" s="1"/>
  <c r="I77" i="48"/>
  <c r="J77" i="48" s="1"/>
  <c r="K77" i="48" s="1"/>
  <c r="L77" i="48" s="1"/>
  <c r="M77" i="48" s="1"/>
  <c r="N77" i="48" s="1"/>
  <c r="I76" i="48"/>
  <c r="J76" i="48" s="1"/>
  <c r="K76" i="48" s="1"/>
  <c r="L76" i="48" s="1"/>
  <c r="M76" i="48" s="1"/>
  <c r="N76" i="48" s="1"/>
  <c r="I75" i="48"/>
  <c r="J75" i="48" s="1"/>
  <c r="K75" i="48" s="1"/>
  <c r="L75" i="48" s="1"/>
  <c r="M75" i="48" s="1"/>
  <c r="N75" i="48" s="1"/>
  <c r="I74" i="48"/>
  <c r="J74" i="48" s="1"/>
  <c r="K74" i="48" s="1"/>
  <c r="L74" i="48" s="1"/>
  <c r="M74" i="48" s="1"/>
  <c r="N74" i="48" s="1"/>
  <c r="I58" i="48"/>
  <c r="J58" i="48" s="1"/>
  <c r="K58" i="48" s="1"/>
  <c r="L58" i="48" s="1"/>
  <c r="M58" i="48" s="1"/>
  <c r="N58" i="48" s="1"/>
  <c r="I57" i="48"/>
  <c r="J57" i="48" s="1"/>
  <c r="K57" i="48" s="1"/>
  <c r="L57" i="48" s="1"/>
  <c r="M57" i="48" s="1"/>
  <c r="N57" i="48" s="1"/>
  <c r="I56" i="48"/>
  <c r="J56" i="48" s="1"/>
  <c r="K56" i="48" s="1"/>
  <c r="L56" i="48" s="1"/>
  <c r="M56" i="48" s="1"/>
  <c r="N56" i="48" s="1"/>
  <c r="I55" i="48"/>
  <c r="J55" i="48" s="1"/>
  <c r="K55" i="48" s="1"/>
  <c r="L55" i="48" s="1"/>
  <c r="M55" i="48" s="1"/>
  <c r="N55" i="48" s="1"/>
  <c r="I54" i="48"/>
  <c r="J54" i="48" s="1"/>
  <c r="K54" i="48" s="1"/>
  <c r="L54" i="48" s="1"/>
  <c r="M54" i="48" s="1"/>
  <c r="N54" i="48" s="1"/>
  <c r="J38" i="48"/>
  <c r="K38" i="48" s="1"/>
  <c r="L38" i="48" s="1"/>
  <c r="M38" i="48" s="1"/>
  <c r="N38" i="48" s="1"/>
  <c r="I38" i="48"/>
  <c r="I37" i="48"/>
  <c r="J37" i="48" s="1"/>
  <c r="K37" i="48" s="1"/>
  <c r="L37" i="48" s="1"/>
  <c r="M37" i="48" s="1"/>
  <c r="N37" i="48" s="1"/>
  <c r="J36" i="48"/>
  <c r="K36" i="48" s="1"/>
  <c r="L36" i="48" s="1"/>
  <c r="M36" i="48" s="1"/>
  <c r="N36" i="48" s="1"/>
  <c r="I36" i="48"/>
  <c r="I35" i="48"/>
  <c r="J35" i="48" s="1"/>
  <c r="K35" i="48" s="1"/>
  <c r="L35" i="48" s="1"/>
  <c r="M35" i="48" s="1"/>
  <c r="N35" i="48" s="1"/>
  <c r="J34" i="48"/>
  <c r="K34" i="48" s="1"/>
  <c r="L34" i="48" s="1"/>
  <c r="M34" i="48" s="1"/>
  <c r="N34" i="48" s="1"/>
  <c r="I34" i="48"/>
  <c r="J14" i="48"/>
  <c r="K14" i="48"/>
  <c r="L14" i="48" s="1"/>
  <c r="M14" i="48" s="1"/>
  <c r="N14" i="48" s="1"/>
  <c r="J15" i="48"/>
  <c r="K15" i="48" s="1"/>
  <c r="L15" i="48" s="1"/>
  <c r="M15" i="48" s="1"/>
  <c r="N15" i="48" s="1"/>
  <c r="J16" i="48"/>
  <c r="K16" i="48"/>
  <c r="L16" i="48"/>
  <c r="M16" i="48"/>
  <c r="N16" i="48" s="1"/>
  <c r="J17" i="48"/>
  <c r="K17" i="48"/>
  <c r="L17" i="48"/>
  <c r="M17" i="48" s="1"/>
  <c r="N17" i="48" s="1"/>
  <c r="J18" i="48"/>
  <c r="K18" i="48"/>
  <c r="L18" i="48" s="1"/>
  <c r="M18" i="48" s="1"/>
  <c r="N18" i="48" s="1"/>
  <c r="I15" i="48"/>
  <c r="I16" i="48"/>
  <c r="I17" i="48"/>
  <c r="I18" i="48"/>
  <c r="I14" i="48"/>
  <c r="L141" i="31" l="1"/>
  <c r="M141" i="31"/>
  <c r="N141" i="31" s="1"/>
  <c r="O141" i="31" s="1"/>
  <c r="L142" i="31"/>
  <c r="M142" i="31"/>
  <c r="N142" i="31" s="1"/>
  <c r="O142" i="31" s="1"/>
  <c r="L143" i="31"/>
  <c r="M143" i="31"/>
  <c r="N143" i="31" s="1"/>
  <c r="O143" i="31" s="1"/>
  <c r="K141" i="31"/>
  <c r="L136" i="31"/>
  <c r="M136" i="31"/>
  <c r="N136" i="31" s="1"/>
  <c r="O136" i="31" s="1"/>
  <c r="L137" i="31"/>
  <c r="M137" i="31"/>
  <c r="N137" i="31" s="1"/>
  <c r="O137" i="31" s="1"/>
  <c r="L138" i="31"/>
  <c r="M138" i="31"/>
  <c r="N138" i="31" s="1"/>
  <c r="O138" i="31" s="1"/>
  <c r="K137" i="31"/>
  <c r="K138" i="31"/>
  <c r="K136" i="31"/>
  <c r="L121" i="31"/>
  <c r="M121" i="31"/>
  <c r="N121" i="31" s="1"/>
  <c r="O121" i="31" s="1"/>
  <c r="L122" i="31"/>
  <c r="M122" i="31"/>
  <c r="N122" i="31" s="1"/>
  <c r="O122" i="31" s="1"/>
  <c r="L123" i="31"/>
  <c r="M123" i="31"/>
  <c r="N123" i="31" s="1"/>
  <c r="O123" i="31" s="1"/>
  <c r="K122" i="31"/>
  <c r="K123" i="31"/>
  <c r="K121" i="31"/>
  <c r="L116" i="31"/>
  <c r="M116" i="31" s="1"/>
  <c r="N116" i="31" s="1"/>
  <c r="O116" i="31" s="1"/>
  <c r="L117" i="31"/>
  <c r="M117" i="31" s="1"/>
  <c r="N117" i="31" s="1"/>
  <c r="O117" i="31" s="1"/>
  <c r="L118" i="31"/>
  <c r="M118" i="31" s="1"/>
  <c r="N118" i="31" s="1"/>
  <c r="O118" i="31" s="1"/>
  <c r="K117" i="31"/>
  <c r="K118" i="31"/>
  <c r="K116" i="31"/>
  <c r="L111" i="31"/>
  <c r="M111" i="31"/>
  <c r="N111" i="31" s="1"/>
  <c r="O111" i="31" s="1"/>
  <c r="L112" i="31"/>
  <c r="M112" i="31"/>
  <c r="N112" i="31" s="1"/>
  <c r="O112" i="31" s="1"/>
  <c r="L113" i="31"/>
  <c r="M113" i="31"/>
  <c r="N113" i="31" s="1"/>
  <c r="O113" i="31" s="1"/>
  <c r="K112" i="31"/>
  <c r="K113" i="31"/>
  <c r="L106" i="31"/>
  <c r="M106" i="31"/>
  <c r="N106" i="31" s="1"/>
  <c r="O106" i="31" s="1"/>
  <c r="L107" i="31"/>
  <c r="M107" i="31"/>
  <c r="N107" i="31" s="1"/>
  <c r="O107" i="31" s="1"/>
  <c r="L108" i="31"/>
  <c r="M108" i="31"/>
  <c r="N108" i="31" s="1"/>
  <c r="O108" i="31" s="1"/>
  <c r="K107" i="31"/>
  <c r="K108" i="31"/>
  <c r="K106" i="31"/>
  <c r="L96" i="31"/>
  <c r="M96" i="31"/>
  <c r="N96" i="31" s="1"/>
  <c r="O96" i="31" s="1"/>
  <c r="L97" i="31"/>
  <c r="M97" i="31"/>
  <c r="N97" i="31" s="1"/>
  <c r="O97" i="31" s="1"/>
  <c r="L98" i="31"/>
  <c r="M98" i="31"/>
  <c r="N98" i="31" s="1"/>
  <c r="O98" i="31" s="1"/>
  <c r="K97" i="31"/>
  <c r="K98" i="31"/>
  <c r="K96" i="31"/>
  <c r="L91" i="31"/>
  <c r="M91" i="31" s="1"/>
  <c r="N91" i="31" s="1"/>
  <c r="O91" i="31" s="1"/>
  <c r="L92" i="31"/>
  <c r="M92" i="31" s="1"/>
  <c r="N92" i="31" s="1"/>
  <c r="O92" i="31" s="1"/>
  <c r="L93" i="31"/>
  <c r="M93" i="31" s="1"/>
  <c r="N93" i="31" s="1"/>
  <c r="O93" i="31" s="1"/>
  <c r="K92" i="31"/>
  <c r="K93" i="31"/>
  <c r="K91" i="31"/>
  <c r="K87" i="31"/>
  <c r="K88" i="31"/>
  <c r="K86" i="31"/>
  <c r="K82" i="31"/>
  <c r="K83" i="31"/>
  <c r="K81" i="31"/>
  <c r="K67" i="31"/>
  <c r="L67" i="31" s="1"/>
  <c r="M67" i="31" s="1"/>
  <c r="N67" i="31" s="1"/>
  <c r="O67" i="31" s="1"/>
  <c r="K68" i="31"/>
  <c r="L68" i="31" s="1"/>
  <c r="M68" i="31" s="1"/>
  <c r="N68" i="31" s="1"/>
  <c r="O68" i="31" s="1"/>
  <c r="K66" i="31"/>
  <c r="L66" i="31" s="1"/>
  <c r="M66" i="31" s="1"/>
  <c r="N66" i="31" s="1"/>
  <c r="O66" i="31" s="1"/>
  <c r="J59" i="29"/>
  <c r="K59" i="29"/>
  <c r="L59" i="29"/>
  <c r="J60" i="29"/>
  <c r="K60" i="29"/>
  <c r="L60" i="29"/>
  <c r="J61" i="29"/>
  <c r="K61" i="29" s="1"/>
  <c r="L61" i="29" s="1"/>
  <c r="J62" i="29"/>
  <c r="K62" i="29"/>
  <c r="L62" i="29" s="1"/>
  <c r="J63" i="29"/>
  <c r="K63" i="29"/>
  <c r="L63" i="29"/>
  <c r="J64" i="29"/>
  <c r="K64" i="29" s="1"/>
  <c r="L64" i="29" s="1"/>
  <c r="I59" i="29"/>
  <c r="I60" i="29"/>
  <c r="I61" i="29"/>
  <c r="I62" i="29"/>
  <c r="I63" i="29"/>
  <c r="I64" i="29"/>
  <c r="J22" i="1"/>
  <c r="K22" i="1" s="1"/>
  <c r="L22" i="1" s="1"/>
  <c r="I22" i="1"/>
  <c r="I23" i="1"/>
  <c r="J23" i="1" s="1"/>
  <c r="K23" i="1" s="1"/>
  <c r="L23" i="1" s="1"/>
  <c r="I21" i="1"/>
  <c r="J21" i="1" s="1"/>
  <c r="K21" i="1" s="1"/>
  <c r="L21" i="1" s="1"/>
  <c r="I217" i="48" l="1"/>
  <c r="J217" i="48"/>
  <c r="K217" i="48"/>
  <c r="L217" i="48"/>
  <c r="M217" i="48"/>
  <c r="N217" i="48"/>
  <c r="H217" i="48"/>
  <c r="P215" i="22" l="1"/>
  <c r="Q215" i="22"/>
  <c r="R215" i="22"/>
  <c r="P216" i="22"/>
  <c r="Q216" i="22"/>
  <c r="R216" i="22"/>
  <c r="N214" i="22"/>
  <c r="O214" i="22"/>
  <c r="N215" i="22"/>
  <c r="O215" i="22"/>
  <c r="N216" i="22"/>
  <c r="O216" i="22"/>
  <c r="N217" i="22"/>
  <c r="O217" i="22"/>
  <c r="U217" i="22" s="1"/>
  <c r="K224" i="22"/>
  <c r="K222" i="22"/>
  <c r="L214" i="22"/>
  <c r="M214" i="22"/>
  <c r="L215" i="22"/>
  <c r="M215" i="22"/>
  <c r="L216" i="22"/>
  <c r="M216" i="22"/>
  <c r="L217" i="22"/>
  <c r="M217" i="22"/>
  <c r="L218" i="22"/>
  <c r="M218" i="22"/>
  <c r="L219" i="22"/>
  <c r="M219" i="22"/>
  <c r="N219" i="22"/>
  <c r="L220" i="22"/>
  <c r="M220" i="22"/>
  <c r="N220" i="22"/>
  <c r="L221" i="22"/>
  <c r="M221" i="22"/>
  <c r="N221" i="22"/>
  <c r="U221" i="22" s="1"/>
  <c r="J213" i="22"/>
  <c r="K213" i="22"/>
  <c r="J214" i="22"/>
  <c r="K214" i="22"/>
  <c r="J215" i="22"/>
  <c r="K215" i="22"/>
  <c r="J216" i="22"/>
  <c r="K216" i="22"/>
  <c r="J217" i="22"/>
  <c r="K217" i="22"/>
  <c r="J218" i="22"/>
  <c r="K218" i="22"/>
  <c r="J219" i="22"/>
  <c r="K219" i="22"/>
  <c r="J220" i="22"/>
  <c r="K220" i="22"/>
  <c r="J221" i="22"/>
  <c r="K221" i="22"/>
  <c r="M212" i="22"/>
  <c r="N212" i="22"/>
  <c r="O212" i="22"/>
  <c r="N209" i="22"/>
  <c r="N211" i="22"/>
  <c r="J209" i="22"/>
  <c r="K209" i="22"/>
  <c r="L209" i="22"/>
  <c r="M209" i="22"/>
  <c r="J210" i="22"/>
  <c r="K210" i="22"/>
  <c r="L210" i="22"/>
  <c r="M210" i="22"/>
  <c r="U210" i="22" s="1"/>
  <c r="J211" i="22"/>
  <c r="K211" i="22"/>
  <c r="L211" i="22"/>
  <c r="M211" i="22"/>
  <c r="J212" i="22"/>
  <c r="K212" i="22"/>
  <c r="L212" i="22"/>
  <c r="L208" i="22"/>
  <c r="M208" i="22"/>
  <c r="J207" i="22"/>
  <c r="K207" i="22"/>
  <c r="J208" i="22"/>
  <c r="K208" i="22"/>
  <c r="J206" i="22"/>
  <c r="J201" i="22"/>
  <c r="K201" i="22"/>
  <c r="L201" i="22"/>
  <c r="M201" i="22"/>
  <c r="N201" i="22"/>
  <c r="J202" i="22"/>
  <c r="K202" i="22"/>
  <c r="L202" i="22"/>
  <c r="M202" i="22"/>
  <c r="N202" i="22"/>
  <c r="J203" i="22"/>
  <c r="K203" i="22"/>
  <c r="L203" i="22"/>
  <c r="M203" i="22"/>
  <c r="N203" i="22"/>
  <c r="J204" i="22"/>
  <c r="K204" i="22"/>
  <c r="L204" i="22"/>
  <c r="M204" i="22"/>
  <c r="N204" i="22"/>
  <c r="U204" i="22" s="1"/>
  <c r="F222" i="22"/>
  <c r="G222" i="22"/>
  <c r="H222" i="22"/>
  <c r="I222" i="22"/>
  <c r="J222" i="22"/>
  <c r="F223" i="22"/>
  <c r="G223" i="22"/>
  <c r="H223" i="22"/>
  <c r="S223" i="22" s="1"/>
  <c r="B223" i="22" s="1"/>
  <c r="I223" i="22"/>
  <c r="J223" i="22"/>
  <c r="F224" i="22"/>
  <c r="G224" i="22"/>
  <c r="S224" i="22" s="1"/>
  <c r="B224" i="22" s="1"/>
  <c r="H224" i="22"/>
  <c r="I224" i="22"/>
  <c r="J224" i="22"/>
  <c r="D223" i="22"/>
  <c r="D224" i="22"/>
  <c r="E222" i="22"/>
  <c r="E223" i="22"/>
  <c r="E224" i="22"/>
  <c r="D201" i="22"/>
  <c r="E201" i="22"/>
  <c r="F201" i="22"/>
  <c r="G201" i="22"/>
  <c r="H201" i="22"/>
  <c r="I201" i="22"/>
  <c r="D202" i="22"/>
  <c r="E202" i="22"/>
  <c r="S202" i="22" s="1"/>
  <c r="B202" i="22" s="1"/>
  <c r="F202" i="22"/>
  <c r="G202" i="22"/>
  <c r="H202" i="22"/>
  <c r="I202" i="22"/>
  <c r="D203" i="22"/>
  <c r="E203" i="22"/>
  <c r="F203" i="22"/>
  <c r="G203" i="22"/>
  <c r="S203" i="22" s="1"/>
  <c r="B203" i="22" s="1"/>
  <c r="H203" i="22"/>
  <c r="I203" i="22"/>
  <c r="D204" i="22"/>
  <c r="E204" i="22"/>
  <c r="S204" i="22" s="1"/>
  <c r="B204" i="22" s="1"/>
  <c r="F204" i="22"/>
  <c r="G204" i="22"/>
  <c r="H204" i="22"/>
  <c r="I204" i="22"/>
  <c r="D205" i="22"/>
  <c r="E205" i="22"/>
  <c r="F205" i="22"/>
  <c r="G205" i="22"/>
  <c r="H205" i="22"/>
  <c r="I205" i="22"/>
  <c r="D206" i="22"/>
  <c r="E206" i="22"/>
  <c r="S206" i="22" s="1"/>
  <c r="B206" i="22" s="1"/>
  <c r="F206" i="22"/>
  <c r="G206" i="22"/>
  <c r="H206" i="22"/>
  <c r="I206" i="22"/>
  <c r="D207" i="22"/>
  <c r="E207" i="22"/>
  <c r="F207" i="22"/>
  <c r="G207" i="22"/>
  <c r="H207" i="22"/>
  <c r="I207" i="22"/>
  <c r="D208" i="22"/>
  <c r="E208" i="22"/>
  <c r="F208" i="22"/>
  <c r="G208" i="22"/>
  <c r="H208" i="22"/>
  <c r="I208" i="22"/>
  <c r="D209" i="22"/>
  <c r="E209" i="22"/>
  <c r="F209" i="22"/>
  <c r="G209" i="22"/>
  <c r="H209" i="22"/>
  <c r="I209" i="22"/>
  <c r="D210" i="22"/>
  <c r="E210" i="22"/>
  <c r="F210" i="22"/>
  <c r="G210" i="22"/>
  <c r="H210" i="22"/>
  <c r="I210" i="22"/>
  <c r="D211" i="22"/>
  <c r="E211" i="22"/>
  <c r="F211" i="22"/>
  <c r="G211" i="22"/>
  <c r="H211" i="22"/>
  <c r="I211" i="22"/>
  <c r="D212" i="22"/>
  <c r="E212" i="22"/>
  <c r="F212" i="22"/>
  <c r="G212" i="22"/>
  <c r="H212" i="22"/>
  <c r="I212" i="22"/>
  <c r="D213" i="22"/>
  <c r="E213" i="22"/>
  <c r="F213" i="22"/>
  <c r="G213" i="22"/>
  <c r="S213" i="22" s="1"/>
  <c r="B213" i="22" s="1"/>
  <c r="H213" i="22"/>
  <c r="I213" i="22"/>
  <c r="D214" i="22"/>
  <c r="E214" i="22"/>
  <c r="F214" i="22"/>
  <c r="G214" i="22"/>
  <c r="H214" i="22"/>
  <c r="I214" i="22"/>
  <c r="D215" i="22"/>
  <c r="E215" i="22"/>
  <c r="F215" i="22"/>
  <c r="G215" i="22"/>
  <c r="H215" i="22"/>
  <c r="I215" i="22"/>
  <c r="D216" i="22"/>
  <c r="E216" i="22"/>
  <c r="F216" i="22"/>
  <c r="G216" i="22"/>
  <c r="H216" i="22"/>
  <c r="I216" i="22"/>
  <c r="D217" i="22"/>
  <c r="E217" i="22"/>
  <c r="F217" i="22"/>
  <c r="G217" i="22"/>
  <c r="H217" i="22"/>
  <c r="I217" i="22"/>
  <c r="D218" i="22"/>
  <c r="E218" i="22"/>
  <c r="F218" i="22"/>
  <c r="G218" i="22"/>
  <c r="H218" i="22"/>
  <c r="I218" i="22"/>
  <c r="D219" i="22"/>
  <c r="E219" i="22"/>
  <c r="F219" i="22"/>
  <c r="G219" i="22"/>
  <c r="H219" i="22"/>
  <c r="I219" i="22"/>
  <c r="D220" i="22"/>
  <c r="E220" i="22"/>
  <c r="F220" i="22"/>
  <c r="G220" i="22"/>
  <c r="H220" i="22"/>
  <c r="I220" i="22"/>
  <c r="D221" i="22"/>
  <c r="E221" i="22"/>
  <c r="F221" i="22"/>
  <c r="G221" i="22"/>
  <c r="H221" i="22"/>
  <c r="I221" i="22"/>
  <c r="C225" i="22"/>
  <c r="U225" i="22" s="1"/>
  <c r="C224" i="22"/>
  <c r="C223" i="22"/>
  <c r="C203" i="22"/>
  <c r="C204" i="22"/>
  <c r="C205" i="22"/>
  <c r="C206" i="22"/>
  <c r="C207" i="22"/>
  <c r="C208" i="22"/>
  <c r="C209" i="22"/>
  <c r="C210" i="22"/>
  <c r="C211" i="22"/>
  <c r="C212" i="22"/>
  <c r="C213" i="22"/>
  <c r="C214" i="22"/>
  <c r="C215" i="22"/>
  <c r="C216" i="22"/>
  <c r="C217" i="22"/>
  <c r="C218" i="22"/>
  <c r="C219" i="22"/>
  <c r="C220" i="22"/>
  <c r="C221" i="22"/>
  <c r="C202" i="22"/>
  <c r="C201" i="22"/>
  <c r="K195" i="22"/>
  <c r="K193" i="22"/>
  <c r="G193" i="22"/>
  <c r="H193" i="22"/>
  <c r="I193" i="22"/>
  <c r="J193" i="22"/>
  <c r="G194" i="22"/>
  <c r="H194" i="22"/>
  <c r="I194" i="22"/>
  <c r="J194" i="22"/>
  <c r="G195" i="22"/>
  <c r="H195" i="22"/>
  <c r="I195" i="22"/>
  <c r="J195" i="22"/>
  <c r="F193" i="22"/>
  <c r="N190" i="22"/>
  <c r="N191" i="22"/>
  <c r="N192" i="22"/>
  <c r="L189" i="22"/>
  <c r="M189" i="22"/>
  <c r="L190" i="22"/>
  <c r="M190" i="22"/>
  <c r="L191" i="22"/>
  <c r="M191" i="22"/>
  <c r="L192" i="22"/>
  <c r="M192" i="22"/>
  <c r="E193" i="22"/>
  <c r="P186" i="22"/>
  <c r="Q186" i="22"/>
  <c r="R186" i="22"/>
  <c r="P187" i="22"/>
  <c r="Q187" i="22"/>
  <c r="R187" i="22"/>
  <c r="L185" i="22"/>
  <c r="M185" i="22"/>
  <c r="N185" i="22"/>
  <c r="O185" i="22"/>
  <c r="L186" i="22"/>
  <c r="M186" i="22"/>
  <c r="N186" i="22"/>
  <c r="O186" i="22"/>
  <c r="L187" i="22"/>
  <c r="M187" i="22"/>
  <c r="N187" i="22"/>
  <c r="O187" i="22"/>
  <c r="L188" i="22"/>
  <c r="M188" i="22"/>
  <c r="N188" i="22"/>
  <c r="O188" i="22"/>
  <c r="K184" i="22"/>
  <c r="O183" i="22"/>
  <c r="L182" i="22"/>
  <c r="M182" i="22"/>
  <c r="N182" i="22"/>
  <c r="L183" i="22"/>
  <c r="M183" i="22"/>
  <c r="N183" i="22"/>
  <c r="L181" i="22"/>
  <c r="M181" i="22"/>
  <c r="K181" i="22"/>
  <c r="K182" i="22"/>
  <c r="K183" i="22"/>
  <c r="K185" i="22"/>
  <c r="K186" i="22"/>
  <c r="K187" i="22"/>
  <c r="K188" i="22"/>
  <c r="K189" i="22"/>
  <c r="K190" i="22"/>
  <c r="K191" i="22"/>
  <c r="K192" i="22"/>
  <c r="D194" i="22"/>
  <c r="E194" i="22"/>
  <c r="F194" i="22"/>
  <c r="D195" i="22"/>
  <c r="E195" i="22"/>
  <c r="F195" i="22"/>
  <c r="C182" i="22"/>
  <c r="D182" i="22"/>
  <c r="E182" i="22"/>
  <c r="F182" i="22"/>
  <c r="G182" i="22"/>
  <c r="H182" i="22"/>
  <c r="I182" i="22"/>
  <c r="J182" i="22"/>
  <c r="C183" i="22"/>
  <c r="D183" i="22"/>
  <c r="E183" i="22"/>
  <c r="F183" i="22"/>
  <c r="G183" i="22"/>
  <c r="H183" i="22"/>
  <c r="I183" i="22"/>
  <c r="J183" i="22"/>
  <c r="C184" i="22"/>
  <c r="D184" i="22"/>
  <c r="E184" i="22"/>
  <c r="F184" i="22"/>
  <c r="G184" i="22"/>
  <c r="H184" i="22"/>
  <c r="I184" i="22"/>
  <c r="J184" i="22"/>
  <c r="C185" i="22"/>
  <c r="D185" i="22"/>
  <c r="E185" i="22"/>
  <c r="F185" i="22"/>
  <c r="G185" i="22"/>
  <c r="H185" i="22"/>
  <c r="I185" i="22"/>
  <c r="J185" i="22"/>
  <c r="C186" i="22"/>
  <c r="D186" i="22"/>
  <c r="E186" i="22"/>
  <c r="F186" i="22"/>
  <c r="G186" i="22"/>
  <c r="H186" i="22"/>
  <c r="I186" i="22"/>
  <c r="J186" i="22"/>
  <c r="C187" i="22"/>
  <c r="D187" i="22"/>
  <c r="E187" i="22"/>
  <c r="F187" i="22"/>
  <c r="G187" i="22"/>
  <c r="H187" i="22"/>
  <c r="I187" i="22"/>
  <c r="J187" i="22"/>
  <c r="C188" i="22"/>
  <c r="D188" i="22"/>
  <c r="E188" i="22"/>
  <c r="F188" i="22"/>
  <c r="G188" i="22"/>
  <c r="H188" i="22"/>
  <c r="I188" i="22"/>
  <c r="J188" i="22"/>
  <c r="C189" i="22"/>
  <c r="D189" i="22"/>
  <c r="E189" i="22"/>
  <c r="F189" i="22"/>
  <c r="G189" i="22"/>
  <c r="H189" i="22"/>
  <c r="I189" i="22"/>
  <c r="J189" i="22"/>
  <c r="C190" i="22"/>
  <c r="D190" i="22"/>
  <c r="E190" i="22"/>
  <c r="F190" i="22"/>
  <c r="G190" i="22"/>
  <c r="H190" i="22"/>
  <c r="I190" i="22"/>
  <c r="J190" i="22"/>
  <c r="C191" i="22"/>
  <c r="D191" i="22"/>
  <c r="E191" i="22"/>
  <c r="F191" i="22"/>
  <c r="G191" i="22"/>
  <c r="H191" i="22"/>
  <c r="I191" i="22"/>
  <c r="J191" i="22"/>
  <c r="C192" i="22"/>
  <c r="D192" i="22"/>
  <c r="E192" i="22"/>
  <c r="F192" i="22"/>
  <c r="G192" i="22"/>
  <c r="H192" i="22"/>
  <c r="I192" i="22"/>
  <c r="J192" i="22"/>
  <c r="D181" i="22"/>
  <c r="E181" i="22"/>
  <c r="F181" i="22"/>
  <c r="G181" i="22"/>
  <c r="H181" i="22"/>
  <c r="I181" i="22"/>
  <c r="J181" i="22"/>
  <c r="D180" i="22"/>
  <c r="E180" i="22"/>
  <c r="F180" i="22"/>
  <c r="G180" i="22"/>
  <c r="H180" i="22"/>
  <c r="I180" i="22"/>
  <c r="J180" i="22"/>
  <c r="K180" i="22"/>
  <c r="L180" i="22"/>
  <c r="M180" i="22"/>
  <c r="N180" i="22"/>
  <c r="D179" i="22"/>
  <c r="E179" i="22"/>
  <c r="F179" i="22"/>
  <c r="G179" i="22"/>
  <c r="H179" i="22"/>
  <c r="I179" i="22"/>
  <c r="J179" i="22"/>
  <c r="K179" i="22"/>
  <c r="L179" i="22"/>
  <c r="M179" i="22"/>
  <c r="D178" i="22"/>
  <c r="E178" i="22"/>
  <c r="F178" i="22"/>
  <c r="G178" i="22"/>
  <c r="H178" i="22"/>
  <c r="I178" i="22"/>
  <c r="J178" i="22"/>
  <c r="K178" i="22"/>
  <c r="D177" i="22"/>
  <c r="E177" i="22"/>
  <c r="F177" i="22"/>
  <c r="G177" i="22"/>
  <c r="H177" i="22"/>
  <c r="I177" i="22"/>
  <c r="J177" i="22"/>
  <c r="D176" i="22"/>
  <c r="E176" i="22"/>
  <c r="F176" i="22"/>
  <c r="G176" i="22"/>
  <c r="H176" i="22"/>
  <c r="I176" i="22"/>
  <c r="L172" i="22"/>
  <c r="M172" i="22"/>
  <c r="N172" i="22"/>
  <c r="L173" i="22"/>
  <c r="M173" i="22"/>
  <c r="N173" i="22"/>
  <c r="L174" i="22"/>
  <c r="M174" i="22"/>
  <c r="N174" i="22"/>
  <c r="L175" i="22"/>
  <c r="M175" i="22"/>
  <c r="N175" i="22"/>
  <c r="D172" i="22"/>
  <c r="E172" i="22"/>
  <c r="F172" i="22"/>
  <c r="G172" i="22"/>
  <c r="H172" i="22"/>
  <c r="I172" i="22"/>
  <c r="J172" i="22"/>
  <c r="K172" i="22"/>
  <c r="D173" i="22"/>
  <c r="E173" i="22"/>
  <c r="F173" i="22"/>
  <c r="G173" i="22"/>
  <c r="H173" i="22"/>
  <c r="I173" i="22"/>
  <c r="J173" i="22"/>
  <c r="K173" i="22"/>
  <c r="D174" i="22"/>
  <c r="E174" i="22"/>
  <c r="F174" i="22"/>
  <c r="G174" i="22"/>
  <c r="H174" i="22"/>
  <c r="I174" i="22"/>
  <c r="J174" i="22"/>
  <c r="K174" i="22"/>
  <c r="D175" i="22"/>
  <c r="E175" i="22"/>
  <c r="F175" i="22"/>
  <c r="G175" i="22"/>
  <c r="H175" i="22"/>
  <c r="I175" i="22"/>
  <c r="J175" i="22"/>
  <c r="K175" i="22"/>
  <c r="C196" i="22"/>
  <c r="C195" i="22"/>
  <c r="C194" i="22"/>
  <c r="C174" i="22"/>
  <c r="C175" i="22"/>
  <c r="C176" i="22"/>
  <c r="C177" i="22"/>
  <c r="C178" i="22"/>
  <c r="C179" i="22"/>
  <c r="C180" i="22"/>
  <c r="C181" i="22"/>
  <c r="C173" i="22"/>
  <c r="C172" i="22"/>
  <c r="S225" i="22"/>
  <c r="B225" i="22" s="1"/>
  <c r="U224" i="22"/>
  <c r="U223" i="22"/>
  <c r="U222" i="22"/>
  <c r="D222" i="22"/>
  <c r="U220" i="22"/>
  <c r="U219" i="22"/>
  <c r="U218" i="22"/>
  <c r="S217" i="22"/>
  <c r="B217" i="22" s="1"/>
  <c r="U216" i="22"/>
  <c r="U215" i="22"/>
  <c r="U214" i="22"/>
  <c r="U213" i="22"/>
  <c r="U212" i="22"/>
  <c r="S212" i="22"/>
  <c r="B212" i="22" s="1"/>
  <c r="U211" i="22"/>
  <c r="U209" i="22"/>
  <c r="U208" i="22"/>
  <c r="U207" i="22"/>
  <c r="S207" i="22"/>
  <c r="B207" i="22" s="1"/>
  <c r="U206" i="22"/>
  <c r="U205" i="22"/>
  <c r="S205" i="22"/>
  <c r="B205" i="22" s="1"/>
  <c r="U203" i="22"/>
  <c r="U202" i="22"/>
  <c r="U201" i="22"/>
  <c r="I55" i="47"/>
  <c r="G31" i="47"/>
  <c r="G30" i="47"/>
  <c r="G17" i="47"/>
  <c r="G14" i="47"/>
  <c r="S221" i="22" l="1"/>
  <c r="B221" i="22" s="1"/>
  <c r="S219" i="22"/>
  <c r="B219" i="22" s="1"/>
  <c r="S215" i="22"/>
  <c r="B215" i="22" s="1"/>
  <c r="S220" i="22"/>
  <c r="B220" i="22" s="1"/>
  <c r="S211" i="22"/>
  <c r="B211" i="22" s="1"/>
  <c r="S209" i="22"/>
  <c r="B209" i="22" s="1"/>
  <c r="S222" i="22"/>
  <c r="B222" i="22" s="1"/>
  <c r="S216" i="22"/>
  <c r="B216" i="22" s="1"/>
  <c r="S208" i="22"/>
  <c r="B208" i="22" s="1"/>
  <c r="S201" i="22"/>
  <c r="B201" i="22" s="1"/>
  <c r="S218" i="22"/>
  <c r="B218" i="22" s="1"/>
  <c r="S214" i="22"/>
  <c r="B214" i="22" s="1"/>
  <c r="S210" i="22"/>
  <c r="B210" i="22" s="1"/>
  <c r="C133" i="22"/>
  <c r="K173" i="35" l="1"/>
  <c r="L173" i="35"/>
  <c r="M173" i="35"/>
  <c r="N173" i="35"/>
  <c r="O173" i="35"/>
  <c r="K174" i="35"/>
  <c r="L174" i="35"/>
  <c r="M174" i="35"/>
  <c r="N174" i="35"/>
  <c r="O174" i="35"/>
  <c r="K175" i="35"/>
  <c r="L175" i="35"/>
  <c r="M175" i="35"/>
  <c r="N175" i="35"/>
  <c r="O175" i="35"/>
  <c r="K176" i="35"/>
  <c r="L176" i="35"/>
  <c r="M176" i="35"/>
  <c r="N176" i="35"/>
  <c r="O176" i="35"/>
  <c r="K177" i="35"/>
  <c r="L177" i="35"/>
  <c r="M177" i="35"/>
  <c r="N177" i="35"/>
  <c r="O177" i="35"/>
  <c r="K178" i="35"/>
  <c r="L178" i="35"/>
  <c r="M178" i="35"/>
  <c r="N178" i="35"/>
  <c r="O178" i="35"/>
  <c r="K179" i="35"/>
  <c r="L179" i="35"/>
  <c r="M179" i="35"/>
  <c r="N179" i="35"/>
  <c r="O179" i="35"/>
  <c r="K180" i="35"/>
  <c r="L180" i="35"/>
  <c r="M180" i="35"/>
  <c r="N180" i="35"/>
  <c r="O180" i="35"/>
  <c r="K181" i="35"/>
  <c r="L181" i="35"/>
  <c r="M181" i="35"/>
  <c r="N181" i="35"/>
  <c r="O181" i="35"/>
  <c r="K182" i="35"/>
  <c r="L182" i="35"/>
  <c r="M182" i="35"/>
  <c r="N182" i="35"/>
  <c r="O182" i="35"/>
  <c r="J182" i="35"/>
  <c r="J181" i="35"/>
  <c r="J180" i="35"/>
  <c r="J179" i="35"/>
  <c r="J178" i="35"/>
  <c r="J177" i="35"/>
  <c r="J176" i="35"/>
  <c r="J175" i="35"/>
  <c r="J174" i="35"/>
  <c r="J173" i="35"/>
  <c r="N196" i="48"/>
  <c r="N213" i="48" s="1"/>
  <c r="M196" i="48"/>
  <c r="M213" i="48" s="1"/>
  <c r="L196" i="48"/>
  <c r="L213" i="48" s="1"/>
  <c r="K196" i="48"/>
  <c r="K213" i="48" s="1"/>
  <c r="J196" i="48"/>
  <c r="J213" i="48" s="1"/>
  <c r="I196" i="48"/>
  <c r="I213" i="48" s="1"/>
  <c r="H196" i="48"/>
  <c r="H213" i="48" s="1"/>
  <c r="N176" i="48"/>
  <c r="M176" i="48"/>
  <c r="L176" i="48"/>
  <c r="K176" i="48"/>
  <c r="J176" i="48"/>
  <c r="I176" i="48"/>
  <c r="H176" i="48"/>
  <c r="N156" i="48"/>
  <c r="M156" i="48"/>
  <c r="L156" i="48"/>
  <c r="K156" i="48"/>
  <c r="J156" i="48"/>
  <c r="I156" i="48"/>
  <c r="H156" i="48"/>
  <c r="N136" i="48"/>
  <c r="M136" i="48"/>
  <c r="L136" i="48"/>
  <c r="K136" i="48"/>
  <c r="J136" i="48"/>
  <c r="I136" i="48"/>
  <c r="H136" i="48"/>
  <c r="N116" i="48"/>
  <c r="M116" i="48"/>
  <c r="L116" i="48"/>
  <c r="K116" i="48"/>
  <c r="J116" i="48"/>
  <c r="I116" i="48"/>
  <c r="H116" i="48"/>
  <c r="N93" i="48"/>
  <c r="M93" i="48"/>
  <c r="L93" i="48"/>
  <c r="K93" i="48"/>
  <c r="J93" i="48"/>
  <c r="I93" i="48"/>
  <c r="H93" i="48"/>
  <c r="N73" i="48"/>
  <c r="M73" i="48"/>
  <c r="L73" i="48"/>
  <c r="K73" i="48"/>
  <c r="J73" i="48"/>
  <c r="I73" i="48"/>
  <c r="H73" i="48"/>
  <c r="N53" i="48"/>
  <c r="M53" i="48"/>
  <c r="L53" i="48"/>
  <c r="K53" i="48"/>
  <c r="J53" i="48"/>
  <c r="I53" i="48"/>
  <c r="H53" i="48"/>
  <c r="N33" i="48"/>
  <c r="M33" i="48"/>
  <c r="L33" i="48"/>
  <c r="K33" i="48"/>
  <c r="J33" i="48"/>
  <c r="I33" i="48"/>
  <c r="H33" i="48"/>
  <c r="I13" i="48"/>
  <c r="J13" i="48"/>
  <c r="K13" i="48"/>
  <c r="L13" i="48"/>
  <c r="M13" i="48"/>
  <c r="N13" i="48"/>
  <c r="H13" i="48"/>
  <c r="D194" i="48"/>
  <c r="D174" i="48"/>
  <c r="D154" i="48"/>
  <c r="D134" i="48"/>
  <c r="D114" i="48"/>
  <c r="D91" i="48"/>
  <c r="D71" i="48"/>
  <c r="D51" i="48"/>
  <c r="D31" i="48"/>
  <c r="N210" i="48"/>
  <c r="M210" i="48"/>
  <c r="L210" i="48"/>
  <c r="K210" i="48"/>
  <c r="J210" i="48"/>
  <c r="I210" i="48"/>
  <c r="H210" i="48"/>
  <c r="H202" i="48"/>
  <c r="N190" i="48"/>
  <c r="M190" i="48"/>
  <c r="L190" i="48"/>
  <c r="K190" i="48"/>
  <c r="J190" i="48"/>
  <c r="I190" i="48"/>
  <c r="H190" i="48"/>
  <c r="I182" i="48"/>
  <c r="H203" i="18" s="1"/>
  <c r="H182" i="48"/>
  <c r="N170" i="48"/>
  <c r="M170" i="48"/>
  <c r="L170" i="48"/>
  <c r="K170" i="48"/>
  <c r="J170" i="48"/>
  <c r="I170" i="48"/>
  <c r="H170" i="48"/>
  <c r="I162" i="48"/>
  <c r="H162" i="48"/>
  <c r="H202" i="18" s="1"/>
  <c r="N150" i="48"/>
  <c r="M150" i="48"/>
  <c r="L150" i="48"/>
  <c r="K150" i="48"/>
  <c r="J150" i="48"/>
  <c r="I150" i="48"/>
  <c r="H150" i="48"/>
  <c r="H142" i="48"/>
  <c r="H201" i="18" s="1"/>
  <c r="I142" i="48"/>
  <c r="N130" i="48"/>
  <c r="M130" i="48"/>
  <c r="L130" i="48"/>
  <c r="K130" i="48"/>
  <c r="J130" i="48"/>
  <c r="I130" i="48"/>
  <c r="H130" i="48"/>
  <c r="H122" i="48"/>
  <c r="N107" i="48"/>
  <c r="M107" i="48"/>
  <c r="L107" i="48"/>
  <c r="K107" i="48"/>
  <c r="J107" i="48"/>
  <c r="I107" i="48"/>
  <c r="H107" i="48"/>
  <c r="H99" i="48"/>
  <c r="N87" i="48"/>
  <c r="M87" i="48"/>
  <c r="L87" i="48"/>
  <c r="K87" i="48"/>
  <c r="J87" i="48"/>
  <c r="I87" i="48"/>
  <c r="H87" i="48"/>
  <c r="H79" i="48"/>
  <c r="N67" i="48"/>
  <c r="M67" i="48"/>
  <c r="L67" i="48"/>
  <c r="K67" i="48"/>
  <c r="J67" i="48"/>
  <c r="I67" i="48"/>
  <c r="H67" i="48"/>
  <c r="H59" i="48"/>
  <c r="I59" i="48"/>
  <c r="N47" i="48"/>
  <c r="M47" i="48"/>
  <c r="L47" i="48"/>
  <c r="K47" i="48"/>
  <c r="J47" i="48"/>
  <c r="I47" i="48"/>
  <c r="H47" i="48"/>
  <c r="H39" i="48"/>
  <c r="I27" i="48"/>
  <c r="J27" i="48"/>
  <c r="K27" i="48"/>
  <c r="L27" i="48"/>
  <c r="M27" i="48"/>
  <c r="N27" i="48"/>
  <c r="H27" i="48"/>
  <c r="D11" i="48"/>
  <c r="I122" i="48" l="1"/>
  <c r="I99" i="48"/>
  <c r="I202" i="48"/>
  <c r="H204" i="18" s="1"/>
  <c r="H200" i="18"/>
  <c r="H197" i="18"/>
  <c r="H199" i="18"/>
  <c r="I39" i="48"/>
  <c r="J39" i="48"/>
  <c r="I79" i="48"/>
  <c r="J202" i="48"/>
  <c r="J182" i="48"/>
  <c r="K162" i="48"/>
  <c r="J162" i="48"/>
  <c r="J122" i="48"/>
  <c r="K99" i="48"/>
  <c r="J99" i="48"/>
  <c r="J199" i="18" s="1"/>
  <c r="J79" i="48"/>
  <c r="Z30" i="53"/>
  <c r="Z31" i="53"/>
  <c r="Z32" i="53"/>
  <c r="Z33" i="53"/>
  <c r="Z34" i="53"/>
  <c r="Z35" i="53"/>
  <c r="Z36" i="53"/>
  <c r="Z37" i="53"/>
  <c r="Z38" i="53"/>
  <c r="Z39" i="53"/>
  <c r="Z40" i="53"/>
  <c r="Z41" i="53"/>
  <c r="Z42" i="53"/>
  <c r="Z43" i="53"/>
  <c r="Z44" i="53"/>
  <c r="Z45" i="53"/>
  <c r="Z46" i="53"/>
  <c r="Z47" i="53"/>
  <c r="Z48" i="53"/>
  <c r="Z49" i="53"/>
  <c r="Z50" i="53"/>
  <c r="Z51" i="53"/>
  <c r="Z52" i="53"/>
  <c r="Z53" i="53"/>
  <c r="Z54" i="53"/>
  <c r="Z55" i="53"/>
  <c r="Z56" i="53"/>
  <c r="Z57" i="53"/>
  <c r="Z58" i="53"/>
  <c r="Z59" i="53"/>
  <c r="Z60" i="53"/>
  <c r="Z61" i="53"/>
  <c r="Z62" i="53"/>
  <c r="Z63" i="53"/>
  <c r="Z64" i="53"/>
  <c r="Z65" i="53"/>
  <c r="Z66" i="53"/>
  <c r="Z67" i="53"/>
  <c r="Z68" i="53"/>
  <c r="Z69" i="53"/>
  <c r="Z70" i="53"/>
  <c r="Z71" i="53"/>
  <c r="Z72" i="53"/>
  <c r="Z73" i="53"/>
  <c r="Z74" i="53"/>
  <c r="Z75" i="53"/>
  <c r="Z76" i="53"/>
  <c r="Z77" i="53"/>
  <c r="Z78" i="53"/>
  <c r="Z79" i="53"/>
  <c r="Z80" i="53"/>
  <c r="Z81" i="53"/>
  <c r="Z82" i="53"/>
  <c r="Z83" i="53"/>
  <c r="Z84" i="53"/>
  <c r="Z85" i="53"/>
  <c r="Z86" i="53"/>
  <c r="Z87" i="53"/>
  <c r="Z88" i="53"/>
  <c r="Z89" i="53"/>
  <c r="Z90" i="53"/>
  <c r="Z91" i="53"/>
  <c r="Z92" i="53"/>
  <c r="Z93" i="53"/>
  <c r="Z94" i="53"/>
  <c r="Z95" i="53"/>
  <c r="Z96" i="53"/>
  <c r="Z97" i="53"/>
  <c r="Z98" i="53"/>
  <c r="Z99" i="53"/>
  <c r="Z100" i="53"/>
  <c r="Z101" i="53"/>
  <c r="Z102" i="53"/>
  <c r="Z103" i="53"/>
  <c r="Z104" i="53"/>
  <c r="Z105" i="53"/>
  <c r="Z106" i="53"/>
  <c r="Z107" i="53"/>
  <c r="Z108" i="53"/>
  <c r="Z109" i="53"/>
  <c r="Z110" i="53"/>
  <c r="Z111" i="53"/>
  <c r="Z112" i="53"/>
  <c r="Z113" i="53"/>
  <c r="Z114" i="53"/>
  <c r="Z115" i="53"/>
  <c r="Z116" i="53"/>
  <c r="Z117" i="53"/>
  <c r="Z118" i="53"/>
  <c r="Z119" i="53"/>
  <c r="Z120" i="53"/>
  <c r="Z121" i="53"/>
  <c r="Z122" i="53"/>
  <c r="Z123" i="53"/>
  <c r="Z124" i="53"/>
  <c r="Z125" i="53"/>
  <c r="Z126" i="53"/>
  <c r="Z127" i="53"/>
  <c r="Z128" i="53"/>
  <c r="Z129" i="53"/>
  <c r="Z130" i="53"/>
  <c r="Z131" i="53"/>
  <c r="Z132" i="53"/>
  <c r="Z133" i="53"/>
  <c r="Z134" i="53"/>
  <c r="Z135" i="53"/>
  <c r="Z136" i="53"/>
  <c r="Z137" i="53"/>
  <c r="Z138" i="53"/>
  <c r="Z139" i="53"/>
  <c r="Z16" i="53"/>
  <c r="Z17" i="53"/>
  <c r="Z18" i="53"/>
  <c r="Z19" i="53"/>
  <c r="Z20" i="53"/>
  <c r="Z21" i="53"/>
  <c r="Z22" i="53"/>
  <c r="Z23" i="53"/>
  <c r="Z24" i="53"/>
  <c r="Z25" i="53"/>
  <c r="Z26" i="53"/>
  <c r="Z27" i="53"/>
  <c r="Z28" i="53"/>
  <c r="Z29" i="53"/>
  <c r="Z15" i="53"/>
  <c r="G39" i="28"/>
  <c r="H39" i="28"/>
  <c r="I39" i="28"/>
  <c r="J39" i="28"/>
  <c r="F39" i="28"/>
  <c r="H29" i="28"/>
  <c r="I29" i="28"/>
  <c r="J29" i="28"/>
  <c r="G29" i="28"/>
  <c r="F29" i="28"/>
  <c r="E40" i="22"/>
  <c r="E39" i="22"/>
  <c r="J202" i="18" l="1"/>
  <c r="I202" i="18"/>
  <c r="K122" i="48"/>
  <c r="J142" i="48"/>
  <c r="I204" i="18"/>
  <c r="I203" i="18"/>
  <c r="J200" i="18"/>
  <c r="I200" i="18"/>
  <c r="I199" i="18"/>
  <c r="H198" i="18"/>
  <c r="I198" i="18"/>
  <c r="J59" i="48"/>
  <c r="J198" i="18"/>
  <c r="H196" i="18"/>
  <c r="I196" i="18"/>
  <c r="K202" i="48"/>
  <c r="K182" i="48"/>
  <c r="L162" i="48"/>
  <c r="K142" i="48"/>
  <c r="L122" i="48"/>
  <c r="L99" i="48"/>
  <c r="K79" i="48"/>
  <c r="K39" i="48"/>
  <c r="J196" i="18" s="1"/>
  <c r="K202" i="18" l="1"/>
  <c r="J201" i="18"/>
  <c r="I201" i="18"/>
  <c r="J204" i="18"/>
  <c r="J203" i="18"/>
  <c r="K200" i="18"/>
  <c r="K59" i="48"/>
  <c r="J197" i="18" s="1"/>
  <c r="I197" i="18"/>
  <c r="K199" i="18"/>
  <c r="L202" i="48"/>
  <c r="L182" i="48"/>
  <c r="N162" i="48"/>
  <c r="M162" i="48"/>
  <c r="L142" i="48"/>
  <c r="N122" i="48"/>
  <c r="M122" i="48"/>
  <c r="N99" i="48"/>
  <c r="M99" i="48"/>
  <c r="L79" i="48"/>
  <c r="K198" i="18" s="1"/>
  <c r="L39" i="48"/>
  <c r="K196" i="18" s="1"/>
  <c r="M202" i="18" l="1"/>
  <c r="L202" i="18"/>
  <c r="K201" i="18"/>
  <c r="M200" i="18"/>
  <c r="K204" i="18"/>
  <c r="K203" i="18"/>
  <c r="L200" i="18"/>
  <c r="L59" i="48"/>
  <c r="M199" i="18"/>
  <c r="L199" i="18"/>
  <c r="N202" i="48"/>
  <c r="M202" i="48"/>
  <c r="N182" i="48"/>
  <c r="M182" i="48"/>
  <c r="N142" i="48"/>
  <c r="M142" i="48"/>
  <c r="M201" i="18" s="1"/>
  <c r="M79" i="48"/>
  <c r="N79" i="48"/>
  <c r="M39" i="48"/>
  <c r="L196" i="18" s="1"/>
  <c r="N39" i="48"/>
  <c r="M204" i="18" l="1"/>
  <c r="L201" i="18"/>
  <c r="L204" i="18"/>
  <c r="M203" i="18"/>
  <c r="L203" i="18"/>
  <c r="M198" i="18"/>
  <c r="L198" i="18"/>
  <c r="N59" i="48"/>
  <c r="M59" i="48"/>
  <c r="M197" i="18" s="1"/>
  <c r="M196" i="18"/>
  <c r="K197" i="18"/>
  <c r="L197" i="18" l="1"/>
  <c r="AB280" i="13" l="1"/>
  <c r="AB281" i="13"/>
  <c r="AB282" i="13"/>
  <c r="AB283" i="13"/>
  <c r="AB284" i="13"/>
  <c r="AB285" i="13"/>
  <c r="AB286" i="13"/>
  <c r="AB287" i="13"/>
  <c r="AB288" i="13"/>
  <c r="AB289" i="13"/>
  <c r="AB290" i="13"/>
  <c r="AB248" i="13"/>
  <c r="AB249" i="13"/>
  <c r="AB250" i="13"/>
  <c r="AB251" i="13"/>
  <c r="AB252" i="13"/>
  <c r="AB253" i="13"/>
  <c r="AB254" i="13"/>
  <c r="AB255" i="13"/>
  <c r="AB256" i="13"/>
  <c r="AB257" i="13"/>
  <c r="AB258" i="13"/>
  <c r="AB216" i="13"/>
  <c r="AB217" i="13"/>
  <c r="AB218" i="13"/>
  <c r="AB219" i="13"/>
  <c r="AB220" i="13"/>
  <c r="AB221" i="13"/>
  <c r="AB222" i="13"/>
  <c r="AB223" i="13"/>
  <c r="AB224" i="13"/>
  <c r="AB225" i="13"/>
  <c r="AB226" i="13"/>
  <c r="AB184" i="13"/>
  <c r="AB185" i="13"/>
  <c r="AB186" i="13"/>
  <c r="AB187" i="13"/>
  <c r="AB188" i="13"/>
  <c r="AB189" i="13"/>
  <c r="AB190" i="13"/>
  <c r="AB191" i="13"/>
  <c r="AB192" i="13"/>
  <c r="AB193" i="13"/>
  <c r="AB194" i="13"/>
  <c r="AB152" i="13"/>
  <c r="AB153" i="13"/>
  <c r="AB154" i="13"/>
  <c r="AB155" i="13"/>
  <c r="AB156" i="13"/>
  <c r="AB157" i="13"/>
  <c r="AB158" i="13"/>
  <c r="AB159" i="13"/>
  <c r="AB160" i="13"/>
  <c r="AB161" i="13"/>
  <c r="AB162" i="13"/>
  <c r="AB120" i="13"/>
  <c r="AB121" i="13"/>
  <c r="AB122" i="13"/>
  <c r="AB123" i="13"/>
  <c r="AB124" i="13"/>
  <c r="AB125" i="13"/>
  <c r="AB126" i="13"/>
  <c r="AB127" i="13"/>
  <c r="AB128" i="13"/>
  <c r="AB129" i="13"/>
  <c r="AB130" i="13"/>
  <c r="AB88" i="13"/>
  <c r="AB89" i="13"/>
  <c r="AB90" i="13"/>
  <c r="AB91" i="13"/>
  <c r="AB92" i="13"/>
  <c r="AB93" i="13"/>
  <c r="AB94" i="13"/>
  <c r="AB95" i="13"/>
  <c r="AB96" i="13"/>
  <c r="AB97" i="13"/>
  <c r="AB98" i="13"/>
  <c r="AB56" i="13"/>
  <c r="AB57" i="13"/>
  <c r="AB58" i="13"/>
  <c r="AB59" i="13"/>
  <c r="AB60" i="13"/>
  <c r="AB61" i="13"/>
  <c r="AB62" i="13"/>
  <c r="AB63" i="13"/>
  <c r="AB64" i="13"/>
  <c r="AB65" i="13"/>
  <c r="AB66" i="13"/>
  <c r="Y57" i="29" l="1"/>
  <c r="Z57" i="29"/>
  <c r="V58" i="29"/>
  <c r="W57" i="29"/>
  <c r="X57" i="29"/>
  <c r="V59" i="29"/>
  <c r="V60" i="29"/>
  <c r="V61" i="29"/>
  <c r="V62" i="29"/>
  <c r="V63" i="29"/>
  <c r="V64" i="29"/>
  <c r="V65" i="29"/>
  <c r="V66" i="29"/>
  <c r="V67" i="29"/>
  <c r="V68" i="29"/>
  <c r="V69" i="29"/>
  <c r="V70" i="29"/>
  <c r="V71" i="29"/>
  <c r="V72" i="29"/>
  <c r="V73" i="29"/>
  <c r="V74" i="29"/>
  <c r="V75" i="29"/>
  <c r="V76" i="29"/>
  <c r="V77" i="29"/>
  <c r="V78" i="29"/>
  <c r="V79" i="29"/>
  <c r="V80" i="29"/>
  <c r="V81" i="29"/>
  <c r="V82" i="29"/>
  <c r="V83" i="29"/>
  <c r="V84" i="29"/>
  <c r="V85" i="29"/>
  <c r="V86" i="29"/>
  <c r="V87" i="29"/>
  <c r="V88" i="29"/>
  <c r="V89" i="29"/>
  <c r="V90" i="29"/>
  <c r="V91" i="29"/>
  <c r="V92" i="29"/>
  <c r="V93" i="29"/>
  <c r="V94" i="29"/>
  <c r="V95" i="29"/>
  <c r="V96" i="29"/>
  <c r="V97" i="29"/>
  <c r="V98" i="29"/>
  <c r="V99" i="29"/>
  <c r="V100" i="29"/>
  <c r="V101" i="29"/>
  <c r="V102" i="29"/>
  <c r="V103" i="29"/>
  <c r="V104" i="29"/>
  <c r="V105" i="29"/>
  <c r="V106" i="29"/>
  <c r="V107" i="29"/>
  <c r="V108" i="29"/>
  <c r="V109" i="29"/>
  <c r="V110" i="29"/>
  <c r="V111" i="29"/>
  <c r="V112" i="29"/>
  <c r="V113" i="29"/>
  <c r="V114" i="29"/>
  <c r="V115" i="29"/>
  <c r="V116" i="29"/>
  <c r="V117" i="29"/>
  <c r="V118" i="29"/>
  <c r="V119" i="29"/>
  <c r="V120" i="29"/>
  <c r="V121" i="29"/>
  <c r="V122" i="29"/>
  <c r="V123" i="29"/>
  <c r="V124" i="29"/>
  <c r="V125" i="29"/>
  <c r="V126" i="29"/>
  <c r="V127" i="29"/>
  <c r="V128" i="29"/>
  <c r="V129" i="29"/>
  <c r="V130" i="29"/>
  <c r="V131" i="29"/>
  <c r="V132" i="29"/>
  <c r="V133" i="29"/>
  <c r="V134" i="29"/>
  <c r="V135" i="29"/>
  <c r="V136" i="29"/>
  <c r="V137" i="29"/>
  <c r="V138" i="29"/>
  <c r="V139" i="29"/>
  <c r="V140" i="29"/>
  <c r="V141" i="29"/>
  <c r="V142" i="29"/>
  <c r="V143" i="29"/>
  <c r="V144" i="29"/>
  <c r="V145" i="29"/>
  <c r="V146" i="29"/>
  <c r="V147" i="29"/>
  <c r="V148" i="29"/>
  <c r="V149" i="29"/>
  <c r="V150" i="29"/>
  <c r="V151" i="29"/>
  <c r="V152" i="29"/>
  <c r="V153" i="29"/>
  <c r="V154" i="29"/>
  <c r="V155" i="29"/>
  <c r="V156" i="29"/>
  <c r="V57" i="29"/>
  <c r="D116" i="22" l="1"/>
  <c r="F35" i="22"/>
  <c r="I82" i="22" l="1"/>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121" i="29"/>
  <c r="O122" i="29"/>
  <c r="O123" i="29"/>
  <c r="O124" i="29"/>
  <c r="O125" i="29"/>
  <c r="O126" i="29"/>
  <c r="O127" i="29"/>
  <c r="O128" i="29"/>
  <c r="O129" i="29"/>
  <c r="O130" i="29"/>
  <c r="O131" i="29"/>
  <c r="O132" i="29"/>
  <c r="O133" i="29"/>
  <c r="O134" i="29"/>
  <c r="O135" i="29"/>
  <c r="O136" i="29"/>
  <c r="O137" i="29"/>
  <c r="O138" i="29"/>
  <c r="O139" i="29"/>
  <c r="O140" i="29"/>
  <c r="O141" i="29"/>
  <c r="O142" i="29"/>
  <c r="O143" i="29"/>
  <c r="O144" i="29"/>
  <c r="O145" i="29"/>
  <c r="O146" i="29"/>
  <c r="O147" i="29"/>
  <c r="O148" i="29"/>
  <c r="O149" i="29"/>
  <c r="O150" i="29"/>
  <c r="O151" i="29"/>
  <c r="O152" i="29"/>
  <c r="O153" i="29"/>
  <c r="O154" i="29"/>
  <c r="O155" i="29"/>
  <c r="O156" i="29"/>
  <c r="O58" i="29"/>
  <c r="V53" i="29" l="1"/>
  <c r="O29" i="29" s="1"/>
  <c r="K142" i="35" s="1"/>
  <c r="V52" i="29"/>
  <c r="O26" i="29" s="1"/>
  <c r="K141" i="35" s="1"/>
  <c r="K143" i="35" l="1"/>
  <c r="K153" i="35" s="1"/>
  <c r="O33" i="29"/>
  <c r="V158" i="29"/>
  <c r="V54" i="29" s="1"/>
  <c r="G16" i="22" l="1"/>
  <c r="H16" i="22" l="1"/>
  <c r="AA33" i="53"/>
  <c r="AA37" i="53"/>
  <c r="AA41" i="53"/>
  <c r="AA45" i="53"/>
  <c r="AA49" i="53"/>
  <c r="AA53" i="53"/>
  <c r="AA57" i="53"/>
  <c r="AA61" i="53"/>
  <c r="AA65" i="53"/>
  <c r="AA69" i="53"/>
  <c r="AA73" i="53"/>
  <c r="AA77" i="53"/>
  <c r="AA81" i="53"/>
  <c r="AA85" i="53"/>
  <c r="AA89" i="53"/>
  <c r="AA93" i="53"/>
  <c r="AA97" i="53"/>
  <c r="AA101" i="53"/>
  <c r="AA105" i="53"/>
  <c r="AA109" i="53"/>
  <c r="AA113" i="53"/>
  <c r="AA30" i="53"/>
  <c r="AA34" i="53"/>
  <c r="AA38" i="53"/>
  <c r="AA42" i="53"/>
  <c r="AA46" i="53"/>
  <c r="AA50" i="53"/>
  <c r="AA54" i="53"/>
  <c r="AA58" i="53"/>
  <c r="AA62" i="53"/>
  <c r="AA66" i="53"/>
  <c r="AA70" i="53"/>
  <c r="AA74" i="53"/>
  <c r="AA78" i="53"/>
  <c r="AA82" i="53"/>
  <c r="AA86" i="53"/>
  <c r="AA90" i="53"/>
  <c r="AA94" i="53"/>
  <c r="AA98" i="53"/>
  <c r="AA102" i="53"/>
  <c r="AA106" i="53"/>
  <c r="AA110" i="53"/>
  <c r="AA114" i="53"/>
  <c r="AA31" i="53"/>
  <c r="AA35" i="53"/>
  <c r="AA39" i="53"/>
  <c r="AA43" i="53"/>
  <c r="AA47" i="53"/>
  <c r="AA51" i="53"/>
  <c r="AA55" i="53"/>
  <c r="AA59" i="53"/>
  <c r="AA63" i="53"/>
  <c r="AA67" i="53"/>
  <c r="AA71" i="53"/>
  <c r="AA75" i="53"/>
  <c r="AA79" i="53"/>
  <c r="AA83" i="53"/>
  <c r="AA87" i="53"/>
  <c r="AA91" i="53"/>
  <c r="AA95" i="53"/>
  <c r="AA99" i="53"/>
  <c r="AA103" i="53"/>
  <c r="AA107" i="53"/>
  <c r="AA111" i="53"/>
  <c r="AA116" i="53"/>
  <c r="AA120" i="53"/>
  <c r="AA124" i="53"/>
  <c r="AA128" i="53"/>
  <c r="AA132" i="53"/>
  <c r="AA136" i="53"/>
  <c r="AA16" i="53"/>
  <c r="AA20" i="53"/>
  <c r="AA24" i="53"/>
  <c r="AA28" i="53"/>
  <c r="AA127" i="53"/>
  <c r="AA131" i="53"/>
  <c r="AA32" i="53"/>
  <c r="AA36" i="53"/>
  <c r="AA40" i="53"/>
  <c r="AA44" i="53"/>
  <c r="AA48" i="53"/>
  <c r="AA52" i="53"/>
  <c r="AA56" i="53"/>
  <c r="AA60" i="53"/>
  <c r="AA64" i="53"/>
  <c r="AA68" i="53"/>
  <c r="AA72" i="53"/>
  <c r="AA76" i="53"/>
  <c r="AA80" i="53"/>
  <c r="AA84" i="53"/>
  <c r="AA88" i="53"/>
  <c r="AA92" i="53"/>
  <c r="AA96" i="53"/>
  <c r="AA100" i="53"/>
  <c r="AA104" i="53"/>
  <c r="AA108" i="53"/>
  <c r="AA112" i="53"/>
  <c r="AA117" i="53"/>
  <c r="AA121" i="53"/>
  <c r="AA125" i="53"/>
  <c r="AA129" i="53"/>
  <c r="AA133" i="53"/>
  <c r="AA137" i="53"/>
  <c r="AA17" i="53"/>
  <c r="AA21" i="53"/>
  <c r="AA25" i="53"/>
  <c r="AA29" i="53"/>
  <c r="AA15" i="53"/>
  <c r="AA115" i="53"/>
  <c r="AA119" i="53"/>
  <c r="AA123" i="53"/>
  <c r="AA19" i="53"/>
  <c r="AA118" i="53"/>
  <c r="AA122" i="53"/>
  <c r="AA126" i="53"/>
  <c r="AA130" i="53"/>
  <c r="AA134" i="53"/>
  <c r="AA138" i="53"/>
  <c r="AA18" i="53"/>
  <c r="AA22" i="53"/>
  <c r="AA26" i="53"/>
  <c r="AA135" i="53"/>
  <c r="AA139" i="53"/>
  <c r="AA23" i="53"/>
  <c r="AA27" i="53"/>
  <c r="F85" i="22"/>
  <c r="F70" i="22"/>
  <c r="F69" i="22"/>
  <c r="F68" i="22"/>
  <c r="I16" i="22" l="1"/>
  <c r="AB32" i="53"/>
  <c r="AB36" i="53"/>
  <c r="AB40" i="53"/>
  <c r="AB44" i="53"/>
  <c r="AB48" i="53"/>
  <c r="AB52" i="53"/>
  <c r="AB56" i="53"/>
  <c r="AB60" i="53"/>
  <c r="AB64" i="53"/>
  <c r="AB68" i="53"/>
  <c r="AB72" i="53"/>
  <c r="AB76" i="53"/>
  <c r="AB80" i="53"/>
  <c r="AB84" i="53"/>
  <c r="AB88" i="53"/>
  <c r="AB92" i="53"/>
  <c r="AB96" i="53"/>
  <c r="AB100" i="53"/>
  <c r="AB104" i="53"/>
  <c r="AB108" i="53"/>
  <c r="AB112" i="53"/>
  <c r="AB33" i="53"/>
  <c r="AB37" i="53"/>
  <c r="AB41" i="53"/>
  <c r="AB45" i="53"/>
  <c r="AB49" i="53"/>
  <c r="AB53" i="53"/>
  <c r="AB57" i="53"/>
  <c r="AB61" i="53"/>
  <c r="AB65" i="53"/>
  <c r="AB69" i="53"/>
  <c r="AB73" i="53"/>
  <c r="AB77" i="53"/>
  <c r="AB81" i="53"/>
  <c r="AB85" i="53"/>
  <c r="AB89" i="53"/>
  <c r="AB93" i="53"/>
  <c r="AB97" i="53"/>
  <c r="AB101" i="53"/>
  <c r="AB105" i="53"/>
  <c r="AB109" i="53"/>
  <c r="AB113" i="53"/>
  <c r="AB30" i="53"/>
  <c r="AB34" i="53"/>
  <c r="AB38" i="53"/>
  <c r="AB42" i="53"/>
  <c r="AB46" i="53"/>
  <c r="AB50" i="53"/>
  <c r="AB54" i="53"/>
  <c r="AB58" i="53"/>
  <c r="AB62" i="53"/>
  <c r="AB66" i="53"/>
  <c r="AB70" i="53"/>
  <c r="AB74" i="53"/>
  <c r="AB78" i="53"/>
  <c r="AB82" i="53"/>
  <c r="AB86" i="53"/>
  <c r="AB90" i="53"/>
  <c r="AB94" i="53"/>
  <c r="AB98" i="53"/>
  <c r="AB102" i="53"/>
  <c r="AB106" i="53"/>
  <c r="AB110" i="53"/>
  <c r="AB114" i="53"/>
  <c r="AB115" i="53"/>
  <c r="AB119" i="53"/>
  <c r="AB123" i="53"/>
  <c r="AB127" i="53"/>
  <c r="AB131" i="53"/>
  <c r="AB135" i="53"/>
  <c r="AB139" i="53"/>
  <c r="AB19" i="53"/>
  <c r="AB23" i="53"/>
  <c r="AB27" i="53"/>
  <c r="AB59" i="53"/>
  <c r="AB71" i="53"/>
  <c r="AB83" i="53"/>
  <c r="AB87" i="53"/>
  <c r="AB99" i="53"/>
  <c r="AB111" i="53"/>
  <c r="AB122" i="53"/>
  <c r="AB134" i="53"/>
  <c r="AB138" i="53"/>
  <c r="AB18" i="53"/>
  <c r="AB22" i="53"/>
  <c r="AB116" i="53"/>
  <c r="AB120" i="53"/>
  <c r="AB124" i="53"/>
  <c r="AB128" i="53"/>
  <c r="AB132" i="53"/>
  <c r="AB136" i="53"/>
  <c r="AB16" i="53"/>
  <c r="AB20" i="53"/>
  <c r="AB24" i="53"/>
  <c r="AB28" i="53"/>
  <c r="AB31" i="53"/>
  <c r="AB35" i="53"/>
  <c r="AB39" i="53"/>
  <c r="AB43" i="53"/>
  <c r="AB47" i="53"/>
  <c r="AB51" i="53"/>
  <c r="AB67" i="53"/>
  <c r="AB95" i="53"/>
  <c r="AB107" i="53"/>
  <c r="AB130" i="53"/>
  <c r="AB26" i="53"/>
  <c r="AB117" i="53"/>
  <c r="AB121" i="53"/>
  <c r="AB125" i="53"/>
  <c r="AB129" i="53"/>
  <c r="AB133" i="53"/>
  <c r="AB137" i="53"/>
  <c r="AB17" i="53"/>
  <c r="AB21" i="53"/>
  <c r="AB25" i="53"/>
  <c r="AB29" i="53"/>
  <c r="AB15" i="53"/>
  <c r="AB55" i="53"/>
  <c r="AB63" i="53"/>
  <c r="AB75" i="53"/>
  <c r="AB79" i="53"/>
  <c r="AB91" i="53"/>
  <c r="AB103" i="53"/>
  <c r="AB118" i="53"/>
  <c r="AB126" i="53"/>
  <c r="J16" i="22" l="1"/>
  <c r="AC31" i="53"/>
  <c r="AC35" i="53"/>
  <c r="AC39" i="53"/>
  <c r="AC43" i="53"/>
  <c r="AC47" i="53"/>
  <c r="AC51" i="53"/>
  <c r="AC55" i="53"/>
  <c r="AC59" i="53"/>
  <c r="AC63" i="53"/>
  <c r="AC67" i="53"/>
  <c r="AC71" i="53"/>
  <c r="AC75" i="53"/>
  <c r="AC79" i="53"/>
  <c r="AC83" i="53"/>
  <c r="AC87" i="53"/>
  <c r="AC91" i="53"/>
  <c r="AC95" i="53"/>
  <c r="AC99" i="53"/>
  <c r="AC103" i="53"/>
  <c r="AC107" i="53"/>
  <c r="AC111" i="53"/>
  <c r="AC32" i="53"/>
  <c r="AC36" i="53"/>
  <c r="AC40" i="53"/>
  <c r="AC44" i="53"/>
  <c r="AC48" i="53"/>
  <c r="AC52" i="53"/>
  <c r="AC56" i="53"/>
  <c r="AC60" i="53"/>
  <c r="AC64" i="53"/>
  <c r="AC68" i="53"/>
  <c r="AC72" i="53"/>
  <c r="AC76" i="53"/>
  <c r="AC80" i="53"/>
  <c r="AC84" i="53"/>
  <c r="AC88" i="53"/>
  <c r="AC92" i="53"/>
  <c r="AC96" i="53"/>
  <c r="AC100" i="53"/>
  <c r="AC104" i="53"/>
  <c r="AC108" i="53"/>
  <c r="AC112" i="53"/>
  <c r="AC33" i="53"/>
  <c r="AC37" i="53"/>
  <c r="AC41" i="53"/>
  <c r="AC45" i="53"/>
  <c r="AC49" i="53"/>
  <c r="AC53" i="53"/>
  <c r="AC57" i="53"/>
  <c r="AC61" i="53"/>
  <c r="AC65" i="53"/>
  <c r="AC69" i="53"/>
  <c r="AC73" i="53"/>
  <c r="AC77" i="53"/>
  <c r="AC81" i="53"/>
  <c r="AC85" i="53"/>
  <c r="AC89" i="53"/>
  <c r="AC93" i="53"/>
  <c r="AC97" i="53"/>
  <c r="AC101" i="53"/>
  <c r="AC105" i="53"/>
  <c r="AC109" i="53"/>
  <c r="AC113" i="53"/>
  <c r="AC118" i="53"/>
  <c r="AC122" i="53"/>
  <c r="AC126" i="53"/>
  <c r="AC130" i="53"/>
  <c r="AC134" i="53"/>
  <c r="AC138" i="53"/>
  <c r="AC18" i="53"/>
  <c r="AC22" i="53"/>
  <c r="AC26" i="53"/>
  <c r="AC25" i="53"/>
  <c r="AC15" i="53"/>
  <c r="AC30" i="53"/>
  <c r="AC34" i="53"/>
  <c r="AC38" i="53"/>
  <c r="AC42" i="53"/>
  <c r="AC46" i="53"/>
  <c r="AC50" i="53"/>
  <c r="AC54" i="53"/>
  <c r="AC58" i="53"/>
  <c r="AC62" i="53"/>
  <c r="AC66" i="53"/>
  <c r="AC70" i="53"/>
  <c r="AC74" i="53"/>
  <c r="AC78" i="53"/>
  <c r="AC82" i="53"/>
  <c r="AC86" i="53"/>
  <c r="AC90" i="53"/>
  <c r="AC94" i="53"/>
  <c r="AC98" i="53"/>
  <c r="AC102" i="53"/>
  <c r="AC106" i="53"/>
  <c r="AC110" i="53"/>
  <c r="AC114" i="53"/>
  <c r="AC115" i="53"/>
  <c r="AC119" i="53"/>
  <c r="AC123" i="53"/>
  <c r="AC127" i="53"/>
  <c r="AC131" i="53"/>
  <c r="AC135" i="53"/>
  <c r="AC139" i="53"/>
  <c r="AC19" i="53"/>
  <c r="AC23" i="53"/>
  <c r="AC27" i="53"/>
  <c r="AC117" i="53"/>
  <c r="AC121" i="53"/>
  <c r="AC125" i="53"/>
  <c r="AC133" i="53"/>
  <c r="AC21" i="53"/>
  <c r="AC116" i="53"/>
  <c r="AC120" i="53"/>
  <c r="AC124" i="53"/>
  <c r="AC128" i="53"/>
  <c r="AC132" i="53"/>
  <c r="AC136" i="53"/>
  <c r="AC16" i="53"/>
  <c r="AC20" i="53"/>
  <c r="AC24" i="53"/>
  <c r="AC28" i="53"/>
  <c r="AC129" i="53"/>
  <c r="AC137" i="53"/>
  <c r="AC17" i="53"/>
  <c r="AC29" i="53"/>
  <c r="G120" i="49"/>
  <c r="H120" i="49"/>
  <c r="I120" i="49"/>
  <c r="J120" i="49"/>
  <c r="F120" i="49"/>
  <c r="I160" i="24"/>
  <c r="K16" i="22" l="1"/>
  <c r="AD30" i="53"/>
  <c r="AD34" i="53"/>
  <c r="AD38" i="53"/>
  <c r="AD42" i="53"/>
  <c r="AD46" i="53"/>
  <c r="AD50" i="53"/>
  <c r="AD54" i="53"/>
  <c r="AD58" i="53"/>
  <c r="AD62" i="53"/>
  <c r="AD66" i="53"/>
  <c r="AD70" i="53"/>
  <c r="AD74" i="53"/>
  <c r="AD78" i="53"/>
  <c r="AD82" i="53"/>
  <c r="AD86" i="53"/>
  <c r="AD90" i="53"/>
  <c r="AD94" i="53"/>
  <c r="AD98" i="53"/>
  <c r="AD102" i="53"/>
  <c r="AD106" i="53"/>
  <c r="AD110" i="53"/>
  <c r="AD114" i="53"/>
  <c r="AD31" i="53"/>
  <c r="AD35" i="53"/>
  <c r="AD39" i="53"/>
  <c r="AD43" i="53"/>
  <c r="AD47" i="53"/>
  <c r="AD51" i="53"/>
  <c r="AD55" i="53"/>
  <c r="AD59" i="53"/>
  <c r="AD63" i="53"/>
  <c r="AD67" i="53"/>
  <c r="AD71" i="53"/>
  <c r="AD75" i="53"/>
  <c r="AD79" i="53"/>
  <c r="AD83" i="53"/>
  <c r="AD87" i="53"/>
  <c r="AD91" i="53"/>
  <c r="AD95" i="53"/>
  <c r="AD99" i="53"/>
  <c r="AD103" i="53"/>
  <c r="AD107" i="53"/>
  <c r="AD111" i="53"/>
  <c r="AD32" i="53"/>
  <c r="AD36" i="53"/>
  <c r="AD40" i="53"/>
  <c r="AD44" i="53"/>
  <c r="AD48" i="53"/>
  <c r="AD52" i="53"/>
  <c r="AD56" i="53"/>
  <c r="AD60" i="53"/>
  <c r="AD64" i="53"/>
  <c r="AD68" i="53"/>
  <c r="AD72" i="53"/>
  <c r="AD76" i="53"/>
  <c r="AD80" i="53"/>
  <c r="AD84" i="53"/>
  <c r="AD88" i="53"/>
  <c r="AD92" i="53"/>
  <c r="AD96" i="53"/>
  <c r="AD100" i="53"/>
  <c r="AD104" i="53"/>
  <c r="AD108" i="53"/>
  <c r="AD112" i="53"/>
  <c r="AD117" i="53"/>
  <c r="AD121" i="53"/>
  <c r="AD125" i="53"/>
  <c r="AD129" i="53"/>
  <c r="AD133" i="53"/>
  <c r="AD137" i="53"/>
  <c r="AD17" i="53"/>
  <c r="AD21" i="53"/>
  <c r="AD25" i="53"/>
  <c r="AD29" i="53"/>
  <c r="AD15" i="53"/>
  <c r="AD33" i="53"/>
  <c r="AD41" i="53"/>
  <c r="AD49" i="53"/>
  <c r="AD53" i="53"/>
  <c r="AD65" i="53"/>
  <c r="AD77" i="53"/>
  <c r="AD93" i="53"/>
  <c r="AD105" i="53"/>
  <c r="AD113" i="53"/>
  <c r="AD116" i="53"/>
  <c r="AD124" i="53"/>
  <c r="AD128" i="53"/>
  <c r="AD16" i="53"/>
  <c r="AD118" i="53"/>
  <c r="AD122" i="53"/>
  <c r="AD126" i="53"/>
  <c r="AD130" i="53"/>
  <c r="AD134" i="53"/>
  <c r="AD138" i="53"/>
  <c r="AD18" i="53"/>
  <c r="AD22" i="53"/>
  <c r="AD26" i="53"/>
  <c r="AD37" i="53"/>
  <c r="AD57" i="53"/>
  <c r="AD61" i="53"/>
  <c r="AD73" i="53"/>
  <c r="AD81" i="53"/>
  <c r="AD89" i="53"/>
  <c r="AD101" i="53"/>
  <c r="AD132" i="53"/>
  <c r="AD136" i="53"/>
  <c r="AD28" i="53"/>
  <c r="AD115" i="53"/>
  <c r="AD119" i="53"/>
  <c r="AD123" i="53"/>
  <c r="AD127" i="53"/>
  <c r="AD131" i="53"/>
  <c r="AD135" i="53"/>
  <c r="AD139" i="53"/>
  <c r="AD19" i="53"/>
  <c r="AD23" i="53"/>
  <c r="AD27" i="53"/>
  <c r="AD45" i="53"/>
  <c r="AD69" i="53"/>
  <c r="AD85" i="53"/>
  <c r="AD97" i="53"/>
  <c r="AD109" i="53"/>
  <c r="AD120" i="53"/>
  <c r="AD20" i="53"/>
  <c r="AD24" i="53"/>
  <c r="N264" i="24" l="1"/>
  <c r="N263" i="24"/>
  <c r="N262" i="24"/>
  <c r="N261" i="24"/>
  <c r="N260" i="24"/>
  <c r="N259" i="24"/>
  <c r="N258" i="24"/>
  <c r="N257" i="24"/>
  <c r="N256" i="24"/>
  <c r="N255" i="24"/>
  <c r="N254" i="24"/>
  <c r="N253" i="24"/>
  <c r="N252" i="24"/>
  <c r="N251" i="24"/>
  <c r="N250" i="24"/>
  <c r="N249" i="24"/>
  <c r="N248" i="24"/>
  <c r="N247" i="24"/>
  <c r="N246" i="24"/>
  <c r="N245" i="24"/>
  <c r="N244" i="24"/>
  <c r="N243" i="24"/>
  <c r="N242" i="24"/>
  <c r="N241" i="24"/>
  <c r="N240" i="24"/>
  <c r="N239" i="24"/>
  <c r="N238" i="24"/>
  <c r="N237" i="24"/>
  <c r="N236" i="24"/>
  <c r="N235" i="24"/>
  <c r="N234" i="24"/>
  <c r="N233" i="24"/>
  <c r="N232" i="24"/>
  <c r="N231" i="24"/>
  <c r="N230" i="24"/>
  <c r="N229" i="24"/>
  <c r="N228" i="24"/>
  <c r="N227" i="24"/>
  <c r="N226" i="24"/>
  <c r="N225" i="24"/>
  <c r="N224" i="24"/>
  <c r="N223" i="24"/>
  <c r="N222" i="24"/>
  <c r="N221" i="24"/>
  <c r="N220" i="24"/>
  <c r="N219" i="24"/>
  <c r="N218" i="24"/>
  <c r="N217" i="24"/>
  <c r="N216" i="24"/>
  <c r="N215" i="24"/>
  <c r="N214" i="24"/>
  <c r="N213" i="24"/>
  <c r="N212" i="24"/>
  <c r="N211" i="24"/>
  <c r="N210" i="24"/>
  <c r="N209" i="24"/>
  <c r="N208" i="24"/>
  <c r="N207" i="24"/>
  <c r="N206" i="24"/>
  <c r="N201" i="24"/>
  <c r="N200" i="24"/>
  <c r="N196" i="24"/>
  <c r="N187" i="24"/>
  <c r="N183" i="24"/>
  <c r="N182" i="24"/>
  <c r="N168" i="24"/>
  <c r="N167" i="24"/>
  <c r="N165" i="24"/>
  <c r="N164" i="24"/>
  <c r="N148" i="24"/>
  <c r="N147" i="24"/>
  <c r="N146" i="24"/>
  <c r="N145" i="24"/>
  <c r="N144" i="24"/>
  <c r="N143" i="24"/>
  <c r="N142" i="24"/>
  <c r="N141" i="24"/>
  <c r="N140" i="24"/>
  <c r="N139" i="24"/>
  <c r="N138" i="24"/>
  <c r="N137" i="24"/>
  <c r="N136" i="24"/>
  <c r="N135" i="24"/>
  <c r="N134" i="24"/>
  <c r="N133" i="24"/>
  <c r="N132" i="24"/>
  <c r="N131" i="24"/>
  <c r="N130" i="24"/>
  <c r="N129" i="24"/>
  <c r="N128" i="24"/>
  <c r="N127" i="24"/>
  <c r="N126" i="24"/>
  <c r="N125" i="24"/>
  <c r="N124" i="24"/>
  <c r="N123" i="24"/>
  <c r="N122" i="24"/>
  <c r="N121" i="24"/>
  <c r="N120" i="24"/>
  <c r="N119" i="24"/>
  <c r="N118" i="24"/>
  <c r="N117" i="24"/>
  <c r="N116" i="24"/>
  <c r="N115" i="24"/>
  <c r="N114" i="24"/>
  <c r="N113" i="24"/>
  <c r="N112" i="24"/>
  <c r="N111" i="24"/>
  <c r="N110" i="24"/>
  <c r="N109" i="24"/>
  <c r="N108" i="24"/>
  <c r="N107" i="24"/>
  <c r="N106" i="24"/>
  <c r="N105" i="24"/>
  <c r="N104" i="24"/>
  <c r="N103" i="24"/>
  <c r="N102" i="24"/>
  <c r="N101" i="24"/>
  <c r="N100" i="24"/>
  <c r="N99" i="24"/>
  <c r="N98" i="24"/>
  <c r="N97" i="24"/>
  <c r="N96" i="24"/>
  <c r="N95" i="24"/>
  <c r="N94" i="24"/>
  <c r="N93" i="24"/>
  <c r="N92" i="24"/>
  <c r="N91" i="24"/>
  <c r="N90" i="24"/>
  <c r="N85" i="24"/>
  <c r="N84" i="24"/>
  <c r="N80" i="24"/>
  <c r="N71" i="24"/>
  <c r="N67" i="24"/>
  <c r="N66" i="24"/>
  <c r="N52" i="24"/>
  <c r="N51" i="24"/>
  <c r="N49" i="24"/>
  <c r="N48" i="24"/>
  <c r="M264" i="24"/>
  <c r="M263" i="24"/>
  <c r="M262" i="24"/>
  <c r="M261" i="24"/>
  <c r="M260" i="24"/>
  <c r="M259" i="24"/>
  <c r="M258" i="24"/>
  <c r="M257" i="24"/>
  <c r="M256" i="24"/>
  <c r="M255" i="24"/>
  <c r="M254" i="24"/>
  <c r="M253" i="24"/>
  <c r="M252" i="24"/>
  <c r="M251" i="24"/>
  <c r="M250" i="24"/>
  <c r="M249" i="24"/>
  <c r="M248" i="24"/>
  <c r="M247" i="24"/>
  <c r="M246" i="24"/>
  <c r="M245" i="24"/>
  <c r="M244" i="24"/>
  <c r="M243" i="24"/>
  <c r="M242" i="24"/>
  <c r="M241" i="24"/>
  <c r="M240" i="24"/>
  <c r="M239" i="24"/>
  <c r="M238" i="24"/>
  <c r="M237" i="24"/>
  <c r="M236" i="24"/>
  <c r="M235" i="24"/>
  <c r="M234" i="24"/>
  <c r="M233" i="24"/>
  <c r="M232" i="24"/>
  <c r="M231" i="24"/>
  <c r="M230" i="24"/>
  <c r="M229" i="24"/>
  <c r="M228" i="24"/>
  <c r="M227" i="24"/>
  <c r="M226" i="24"/>
  <c r="M225" i="24"/>
  <c r="M224" i="24"/>
  <c r="M223" i="24"/>
  <c r="M222" i="24"/>
  <c r="M221" i="24"/>
  <c r="M220" i="24"/>
  <c r="M219" i="24"/>
  <c r="M218" i="24"/>
  <c r="M217" i="24"/>
  <c r="M216" i="24"/>
  <c r="M215" i="24"/>
  <c r="M214" i="24"/>
  <c r="M213" i="24"/>
  <c r="M212" i="24"/>
  <c r="M211" i="24"/>
  <c r="M210" i="24"/>
  <c r="M209" i="24"/>
  <c r="M208" i="24"/>
  <c r="M207" i="24"/>
  <c r="M206" i="24"/>
  <c r="M201" i="24"/>
  <c r="M200" i="24"/>
  <c r="M196" i="24"/>
  <c r="M187" i="24"/>
  <c r="M183" i="24"/>
  <c r="M182" i="24"/>
  <c r="M168" i="24"/>
  <c r="M167" i="24"/>
  <c r="M165" i="24"/>
  <c r="M164" i="24"/>
  <c r="M148" i="24"/>
  <c r="M147" i="24"/>
  <c r="M146" i="24"/>
  <c r="M145" i="24"/>
  <c r="M144" i="24"/>
  <c r="M143" i="24"/>
  <c r="M142" i="24"/>
  <c r="M141" i="24"/>
  <c r="M140" i="24"/>
  <c r="M139" i="24"/>
  <c r="M138" i="24"/>
  <c r="M137" i="24"/>
  <c r="M136" i="24"/>
  <c r="M135" i="24"/>
  <c r="M134" i="24"/>
  <c r="M133" i="24"/>
  <c r="M132" i="24"/>
  <c r="M131" i="24"/>
  <c r="M130" i="24"/>
  <c r="M129" i="24"/>
  <c r="M128" i="24"/>
  <c r="M127" i="24"/>
  <c r="M126" i="24"/>
  <c r="M125" i="24"/>
  <c r="M124" i="24"/>
  <c r="M123" i="24"/>
  <c r="M122" i="24"/>
  <c r="M121" i="24"/>
  <c r="M120" i="24"/>
  <c r="M119" i="24"/>
  <c r="M118" i="24"/>
  <c r="M117" i="24"/>
  <c r="M116" i="24"/>
  <c r="M115" i="24"/>
  <c r="M114" i="24"/>
  <c r="M113" i="24"/>
  <c r="M112" i="24"/>
  <c r="M111" i="24"/>
  <c r="M110" i="24"/>
  <c r="M109" i="24"/>
  <c r="M108" i="24"/>
  <c r="M107" i="24"/>
  <c r="M106" i="24"/>
  <c r="M105" i="24"/>
  <c r="M104" i="24"/>
  <c r="M103" i="24"/>
  <c r="M102" i="24"/>
  <c r="M101" i="24"/>
  <c r="M100" i="24"/>
  <c r="M99" i="24"/>
  <c r="M98" i="24"/>
  <c r="M97" i="24"/>
  <c r="M96" i="24"/>
  <c r="M95" i="24"/>
  <c r="M94" i="24"/>
  <c r="M93" i="24"/>
  <c r="M92" i="24"/>
  <c r="M91" i="24"/>
  <c r="M90" i="24"/>
  <c r="M85" i="24"/>
  <c r="M84" i="24"/>
  <c r="M80" i="24"/>
  <c r="M71" i="24"/>
  <c r="M67" i="24"/>
  <c r="M66" i="24"/>
  <c r="M52" i="24"/>
  <c r="M51" i="24"/>
  <c r="M49" i="24"/>
  <c r="M48" i="24"/>
  <c r="L264" i="24"/>
  <c r="L263" i="24"/>
  <c r="L262" i="24"/>
  <c r="L261" i="24"/>
  <c r="L260" i="24"/>
  <c r="L259" i="24"/>
  <c r="L258" i="24"/>
  <c r="L257" i="24"/>
  <c r="L256" i="24"/>
  <c r="L255" i="24"/>
  <c r="L254" i="24"/>
  <c r="L253" i="24"/>
  <c r="L252" i="24"/>
  <c r="L251" i="24"/>
  <c r="L250" i="24"/>
  <c r="L249" i="24"/>
  <c r="L248" i="24"/>
  <c r="L247" i="24"/>
  <c r="L246" i="24"/>
  <c r="L245" i="24"/>
  <c r="L244" i="24"/>
  <c r="L243" i="24"/>
  <c r="L242" i="24"/>
  <c r="L241" i="24"/>
  <c r="L240" i="24"/>
  <c r="L239" i="24"/>
  <c r="L238" i="24"/>
  <c r="L237" i="24"/>
  <c r="L236" i="24"/>
  <c r="L235" i="24"/>
  <c r="L234" i="24"/>
  <c r="L233" i="24"/>
  <c r="L232" i="24"/>
  <c r="L231" i="24"/>
  <c r="L230" i="24"/>
  <c r="L229" i="24"/>
  <c r="L228" i="24"/>
  <c r="L227" i="24"/>
  <c r="L226" i="24"/>
  <c r="L225" i="24"/>
  <c r="L224" i="24"/>
  <c r="L223" i="24"/>
  <c r="L222" i="24"/>
  <c r="L221" i="24"/>
  <c r="L220" i="24"/>
  <c r="L219" i="24"/>
  <c r="L218" i="24"/>
  <c r="L217" i="24"/>
  <c r="L216" i="24"/>
  <c r="L215" i="24"/>
  <c r="L214" i="24"/>
  <c r="L213" i="24"/>
  <c r="L212" i="24"/>
  <c r="L211" i="24"/>
  <c r="L210" i="24"/>
  <c r="L209" i="24"/>
  <c r="L208" i="24"/>
  <c r="L207" i="24"/>
  <c r="L206" i="24"/>
  <c r="L201" i="24"/>
  <c r="L200" i="24"/>
  <c r="L196" i="24"/>
  <c r="L187" i="24"/>
  <c r="L183" i="24"/>
  <c r="L182" i="24"/>
  <c r="L168" i="24"/>
  <c r="L167" i="24"/>
  <c r="L165" i="24"/>
  <c r="L164" i="24"/>
  <c r="L148" i="24"/>
  <c r="L147" i="24"/>
  <c r="L146" i="24"/>
  <c r="L145" i="24"/>
  <c r="L144" i="24"/>
  <c r="L143" i="24"/>
  <c r="L142" i="24"/>
  <c r="L141" i="24"/>
  <c r="L140" i="24"/>
  <c r="L139" i="24"/>
  <c r="L138" i="24"/>
  <c r="L137" i="24"/>
  <c r="L136" i="24"/>
  <c r="L135" i="24"/>
  <c r="L134" i="24"/>
  <c r="L133" i="24"/>
  <c r="L132" i="24"/>
  <c r="L131" i="24"/>
  <c r="L130" i="24"/>
  <c r="L129" i="24"/>
  <c r="L128" i="24"/>
  <c r="L127" i="24"/>
  <c r="L126" i="24"/>
  <c r="L125" i="24"/>
  <c r="L124" i="24"/>
  <c r="L123" i="24"/>
  <c r="L122" i="24"/>
  <c r="L121" i="24"/>
  <c r="L120" i="24"/>
  <c r="L119" i="24"/>
  <c r="L118" i="24"/>
  <c r="L117" i="24"/>
  <c r="L116" i="24"/>
  <c r="L115" i="24"/>
  <c r="L114" i="24"/>
  <c r="L113" i="24"/>
  <c r="L112" i="24"/>
  <c r="L111" i="24"/>
  <c r="L110" i="24"/>
  <c r="L109" i="24"/>
  <c r="L108" i="24"/>
  <c r="L107" i="24"/>
  <c r="L106" i="24"/>
  <c r="L105" i="24"/>
  <c r="L104" i="24"/>
  <c r="L103" i="24"/>
  <c r="L102" i="24"/>
  <c r="L101" i="24"/>
  <c r="L100" i="24"/>
  <c r="L99" i="24"/>
  <c r="L98" i="24"/>
  <c r="L97" i="24"/>
  <c r="L96" i="24"/>
  <c r="L95" i="24"/>
  <c r="L94" i="24"/>
  <c r="L93" i="24"/>
  <c r="L92" i="24"/>
  <c r="L91" i="24"/>
  <c r="L90" i="24"/>
  <c r="L85" i="24"/>
  <c r="L84" i="24"/>
  <c r="L80" i="24"/>
  <c r="L71" i="24"/>
  <c r="L67" i="24"/>
  <c r="L66" i="24"/>
  <c r="L52" i="24"/>
  <c r="L51" i="24"/>
  <c r="L49" i="24"/>
  <c r="L48" i="24"/>
  <c r="K264" i="24"/>
  <c r="K263" i="24"/>
  <c r="K262" i="24"/>
  <c r="K261" i="24"/>
  <c r="K260" i="24"/>
  <c r="K259" i="24"/>
  <c r="K258" i="24"/>
  <c r="K257" i="24"/>
  <c r="K256" i="24"/>
  <c r="K255" i="24"/>
  <c r="K254" i="24"/>
  <c r="K253" i="24"/>
  <c r="K252" i="24"/>
  <c r="K251" i="24"/>
  <c r="K250" i="24"/>
  <c r="K249" i="24"/>
  <c r="K248" i="24"/>
  <c r="K247" i="24"/>
  <c r="K246" i="24"/>
  <c r="K245" i="24"/>
  <c r="K244" i="24"/>
  <c r="K243" i="24"/>
  <c r="K242" i="24"/>
  <c r="K241" i="24"/>
  <c r="K240" i="24"/>
  <c r="K239" i="24"/>
  <c r="K238" i="24"/>
  <c r="K237" i="24"/>
  <c r="K236" i="24"/>
  <c r="K235" i="24"/>
  <c r="K234" i="24"/>
  <c r="K233" i="24"/>
  <c r="K232" i="24"/>
  <c r="K231" i="24"/>
  <c r="K230" i="24"/>
  <c r="K229" i="24"/>
  <c r="K228" i="24"/>
  <c r="K227" i="24"/>
  <c r="K226" i="24"/>
  <c r="K225" i="24"/>
  <c r="K224" i="24"/>
  <c r="K223" i="24"/>
  <c r="K222" i="24"/>
  <c r="K221" i="24"/>
  <c r="K220" i="24"/>
  <c r="K219" i="24"/>
  <c r="K218" i="24"/>
  <c r="K217" i="24"/>
  <c r="K216" i="24"/>
  <c r="K215" i="24"/>
  <c r="K214" i="24"/>
  <c r="K213" i="24"/>
  <c r="K212" i="24"/>
  <c r="K211" i="24"/>
  <c r="K210" i="24"/>
  <c r="K209" i="24"/>
  <c r="K208" i="24"/>
  <c r="K207" i="24"/>
  <c r="K206" i="24"/>
  <c r="K201" i="24"/>
  <c r="K200" i="24"/>
  <c r="K196" i="24"/>
  <c r="K187" i="24"/>
  <c r="K183" i="24"/>
  <c r="K182" i="24"/>
  <c r="K168" i="24"/>
  <c r="K167" i="24"/>
  <c r="K165" i="24"/>
  <c r="K164"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5" i="24"/>
  <c r="K84" i="24"/>
  <c r="K80" i="24"/>
  <c r="K71" i="24"/>
  <c r="K67" i="24"/>
  <c r="K66" i="24"/>
  <c r="K52" i="24"/>
  <c r="K51" i="24"/>
  <c r="K49" i="24"/>
  <c r="K48" i="24"/>
  <c r="J264" i="24"/>
  <c r="J263" i="24"/>
  <c r="J262" i="24"/>
  <c r="J261" i="24"/>
  <c r="J260" i="24"/>
  <c r="J259" i="24"/>
  <c r="J258" i="24"/>
  <c r="J257" i="24"/>
  <c r="J256" i="24"/>
  <c r="J255" i="24"/>
  <c r="J254" i="24"/>
  <c r="J253" i="24"/>
  <c r="J252" i="24"/>
  <c r="J251" i="24"/>
  <c r="J250" i="24"/>
  <c r="J249" i="24"/>
  <c r="J248" i="24"/>
  <c r="J247" i="24"/>
  <c r="J246" i="24"/>
  <c r="J245" i="24"/>
  <c r="J244" i="24"/>
  <c r="J243" i="24"/>
  <c r="J242" i="24"/>
  <c r="J241" i="24"/>
  <c r="J240" i="24"/>
  <c r="J239" i="24"/>
  <c r="J238" i="24"/>
  <c r="J237" i="24"/>
  <c r="J236" i="24"/>
  <c r="J235" i="24"/>
  <c r="J234" i="24"/>
  <c r="J233" i="24"/>
  <c r="J232" i="24"/>
  <c r="J231" i="24"/>
  <c r="J230" i="24"/>
  <c r="J229" i="24"/>
  <c r="J228" i="24"/>
  <c r="J227" i="24"/>
  <c r="J226" i="24"/>
  <c r="J225" i="24"/>
  <c r="J224" i="24"/>
  <c r="J223" i="24"/>
  <c r="J222" i="24"/>
  <c r="J221" i="24"/>
  <c r="J220" i="24"/>
  <c r="J219" i="24"/>
  <c r="J218" i="24"/>
  <c r="J217" i="24"/>
  <c r="J216" i="24"/>
  <c r="J215" i="24"/>
  <c r="J214" i="24"/>
  <c r="J213" i="24"/>
  <c r="J212" i="24"/>
  <c r="J211" i="24"/>
  <c r="J210" i="24"/>
  <c r="J209" i="24"/>
  <c r="J208" i="24"/>
  <c r="J207" i="24"/>
  <c r="J206" i="24"/>
  <c r="J205" i="24"/>
  <c r="J203" i="24"/>
  <c r="J201" i="24"/>
  <c r="J200" i="24"/>
  <c r="J196" i="24"/>
  <c r="J195" i="24"/>
  <c r="J194" i="24"/>
  <c r="J191" i="24"/>
  <c r="J188" i="24"/>
  <c r="J187" i="24"/>
  <c r="J186" i="24"/>
  <c r="J185" i="24"/>
  <c r="J183" i="24"/>
  <c r="J182" i="24"/>
  <c r="J180" i="24"/>
  <c r="J179" i="24"/>
  <c r="J177" i="24"/>
  <c r="J176" i="24"/>
  <c r="J174" i="24"/>
  <c r="J173" i="24"/>
  <c r="J171" i="24"/>
  <c r="J170" i="24"/>
  <c r="J168" i="24"/>
  <c r="J167" i="24"/>
  <c r="J165" i="24"/>
  <c r="J164" i="24"/>
  <c r="J148" i="24"/>
  <c r="J147" i="24"/>
  <c r="J146" i="24"/>
  <c r="J145" i="24"/>
  <c r="J144" i="24"/>
  <c r="J143" i="24"/>
  <c r="J142" i="24"/>
  <c r="J141" i="24"/>
  <c r="J140" i="24"/>
  <c r="J139" i="24"/>
  <c r="J138" i="24"/>
  <c r="J137" i="24"/>
  <c r="J136" i="24"/>
  <c r="J135" i="24"/>
  <c r="J134" i="24"/>
  <c r="J133" i="24"/>
  <c r="J132" i="24"/>
  <c r="J131" i="24"/>
  <c r="J130" i="24"/>
  <c r="J129" i="24"/>
  <c r="J128" i="24"/>
  <c r="J127" i="24"/>
  <c r="J126" i="24"/>
  <c r="J125" i="24"/>
  <c r="J124" i="24"/>
  <c r="J123" i="24"/>
  <c r="J122" i="24"/>
  <c r="J121" i="24"/>
  <c r="J120" i="24"/>
  <c r="J119" i="24"/>
  <c r="J118" i="24"/>
  <c r="J117" i="24"/>
  <c r="J116" i="24"/>
  <c r="J115" i="24"/>
  <c r="J114" i="24"/>
  <c r="J113" i="24"/>
  <c r="J112" i="24"/>
  <c r="J111" i="24"/>
  <c r="J110" i="24"/>
  <c r="J109" i="24"/>
  <c r="J108" i="24"/>
  <c r="J107" i="24"/>
  <c r="J106" i="24"/>
  <c r="J105" i="24"/>
  <c r="J104" i="24"/>
  <c r="J103" i="24"/>
  <c r="J102" i="24"/>
  <c r="J101" i="24"/>
  <c r="J100" i="24"/>
  <c r="J99" i="24"/>
  <c r="J98" i="24"/>
  <c r="J97" i="24"/>
  <c r="J96" i="24"/>
  <c r="J95" i="24"/>
  <c r="J94" i="24"/>
  <c r="J93" i="24"/>
  <c r="J92" i="24"/>
  <c r="J91" i="24"/>
  <c r="J90" i="24"/>
  <c r="J89" i="24"/>
  <c r="J87" i="24"/>
  <c r="J85" i="24"/>
  <c r="J84" i="24"/>
  <c r="J80" i="24"/>
  <c r="J79" i="24"/>
  <c r="J78" i="24"/>
  <c r="J75" i="24"/>
  <c r="J72" i="24"/>
  <c r="J71" i="24"/>
  <c r="J70" i="24"/>
  <c r="J69" i="24"/>
  <c r="J67" i="24"/>
  <c r="J66" i="24"/>
  <c r="J64" i="24"/>
  <c r="J63" i="24"/>
  <c r="J61" i="24"/>
  <c r="J60" i="24"/>
  <c r="J58" i="24"/>
  <c r="J57" i="24"/>
  <c r="J55" i="24"/>
  <c r="J54" i="24"/>
  <c r="J52" i="24"/>
  <c r="J51" i="24"/>
  <c r="J49" i="24"/>
  <c r="J48" i="24"/>
  <c r="I264" i="24"/>
  <c r="I263" i="24"/>
  <c r="I262" i="24"/>
  <c r="I261" i="24"/>
  <c r="I260" i="24"/>
  <c r="I259" i="24"/>
  <c r="I258" i="24"/>
  <c r="I257" i="24"/>
  <c r="I256" i="24"/>
  <c r="I255" i="24"/>
  <c r="I254" i="24"/>
  <c r="I253" i="24"/>
  <c r="I252" i="24"/>
  <c r="I251" i="24"/>
  <c r="I250" i="24"/>
  <c r="I249" i="24"/>
  <c r="I248" i="24"/>
  <c r="I247" i="24"/>
  <c r="I246" i="24"/>
  <c r="I245" i="24"/>
  <c r="I244" i="24"/>
  <c r="I243" i="24"/>
  <c r="I242" i="24"/>
  <c r="I241" i="24"/>
  <c r="I240" i="24"/>
  <c r="I239" i="24"/>
  <c r="I238" i="24"/>
  <c r="I237" i="24"/>
  <c r="I236" i="24"/>
  <c r="I235" i="24"/>
  <c r="I234" i="24"/>
  <c r="I233" i="24"/>
  <c r="I232" i="24"/>
  <c r="I231" i="24"/>
  <c r="I230" i="24"/>
  <c r="I229" i="24"/>
  <c r="I228" i="24"/>
  <c r="I227" i="24"/>
  <c r="I226" i="24"/>
  <c r="I225" i="24"/>
  <c r="I224" i="24"/>
  <c r="I223" i="24"/>
  <c r="I222" i="24"/>
  <c r="I221" i="24"/>
  <c r="I220" i="24"/>
  <c r="I219" i="24"/>
  <c r="I218" i="24"/>
  <c r="I217" i="24"/>
  <c r="I216" i="24"/>
  <c r="I215" i="24"/>
  <c r="I214" i="24"/>
  <c r="I213" i="24"/>
  <c r="I212" i="24"/>
  <c r="I211" i="24"/>
  <c r="I210" i="24"/>
  <c r="I209" i="24"/>
  <c r="I208" i="24"/>
  <c r="I207" i="24"/>
  <c r="I206" i="24"/>
  <c r="I205" i="24"/>
  <c r="I204" i="24"/>
  <c r="I203" i="24"/>
  <c r="I202" i="24"/>
  <c r="I201" i="24"/>
  <c r="I200" i="24"/>
  <c r="I199" i="24"/>
  <c r="I198" i="24"/>
  <c r="I197" i="24"/>
  <c r="I196" i="24"/>
  <c r="I195" i="24"/>
  <c r="I194" i="24"/>
  <c r="I193" i="24"/>
  <c r="I192" i="24"/>
  <c r="I191" i="24"/>
  <c r="I190" i="24"/>
  <c r="I189" i="24"/>
  <c r="I188" i="24"/>
  <c r="I187" i="24"/>
  <c r="I186" i="24"/>
  <c r="I185" i="24"/>
  <c r="I184" i="24"/>
  <c r="I183" i="24"/>
  <c r="I182" i="24"/>
  <c r="I181" i="24"/>
  <c r="I180" i="24"/>
  <c r="I179" i="24"/>
  <c r="I178" i="24"/>
  <c r="I177" i="24"/>
  <c r="I176" i="24"/>
  <c r="I175" i="24"/>
  <c r="I174" i="24"/>
  <c r="I173" i="24"/>
  <c r="I172" i="24"/>
  <c r="I171" i="24"/>
  <c r="I170" i="24"/>
  <c r="I169" i="24"/>
  <c r="I168" i="24"/>
  <c r="I167" i="24"/>
  <c r="I166" i="24"/>
  <c r="I165" i="24"/>
  <c r="I164" i="24"/>
  <c r="I163" i="24"/>
  <c r="I162" i="24"/>
  <c r="I161" i="24"/>
  <c r="I148" i="24"/>
  <c r="I147" i="24"/>
  <c r="I146" i="24"/>
  <c r="I145" i="24"/>
  <c r="I144" i="24"/>
  <c r="I143" i="24"/>
  <c r="I142" i="24"/>
  <c r="I141" i="24"/>
  <c r="I140" i="24"/>
  <c r="I139" i="24"/>
  <c r="I138" i="24"/>
  <c r="I137" i="24"/>
  <c r="I136" i="24"/>
  <c r="I135" i="24"/>
  <c r="I134" i="24"/>
  <c r="I133" i="24"/>
  <c r="I132" i="24"/>
  <c r="I131" i="24"/>
  <c r="I130" i="24"/>
  <c r="I129" i="24"/>
  <c r="I128" i="24"/>
  <c r="I127" i="24"/>
  <c r="I126" i="24"/>
  <c r="I125" i="24"/>
  <c r="I124" i="24"/>
  <c r="I123" i="24"/>
  <c r="I122" i="24"/>
  <c r="I121" i="24"/>
  <c r="I120" i="24"/>
  <c r="I119" i="24"/>
  <c r="I118" i="24"/>
  <c r="I117" i="24"/>
  <c r="I116" i="24"/>
  <c r="I115" i="24"/>
  <c r="I114" i="24"/>
  <c r="I113" i="24"/>
  <c r="I112" i="24"/>
  <c r="I111" i="24"/>
  <c r="I110" i="24"/>
  <c r="I109" i="24"/>
  <c r="I108" i="24"/>
  <c r="I107" i="24"/>
  <c r="I106" i="24"/>
  <c r="I105" i="24"/>
  <c r="I104" i="24"/>
  <c r="I103" i="24"/>
  <c r="I102" i="24"/>
  <c r="I101" i="24"/>
  <c r="I100" i="24"/>
  <c r="I99" i="24"/>
  <c r="I98" i="24"/>
  <c r="I97" i="24"/>
  <c r="I96" i="24"/>
  <c r="I95" i="24"/>
  <c r="I94" i="24"/>
  <c r="I93" i="24"/>
  <c r="I92" i="24"/>
  <c r="I91" i="24"/>
  <c r="I90" i="24"/>
  <c r="I89" i="24"/>
  <c r="I88" i="24"/>
  <c r="I87" i="24"/>
  <c r="I86" i="24"/>
  <c r="I85" i="24"/>
  <c r="I84" i="24"/>
  <c r="I83" i="24"/>
  <c r="I82" i="24"/>
  <c r="I81" i="24"/>
  <c r="I80" i="24"/>
  <c r="I79" i="24"/>
  <c r="I78" i="24"/>
  <c r="I77" i="24"/>
  <c r="I76" i="24"/>
  <c r="I75" i="24"/>
  <c r="I74" i="24"/>
  <c r="I73" i="24"/>
  <c r="I72" i="24"/>
  <c r="I71" i="24"/>
  <c r="I70" i="24"/>
  <c r="I69" i="24"/>
  <c r="I68" i="24"/>
  <c r="I67" i="24"/>
  <c r="I66" i="24"/>
  <c r="I65" i="24"/>
  <c r="I64" i="24"/>
  <c r="I63" i="24"/>
  <c r="I62" i="24"/>
  <c r="I61" i="24"/>
  <c r="I60" i="24"/>
  <c r="I59" i="24"/>
  <c r="I58" i="24"/>
  <c r="I57" i="24"/>
  <c r="I56" i="24"/>
  <c r="I55" i="24"/>
  <c r="I54" i="24"/>
  <c r="I53" i="24"/>
  <c r="I52" i="24"/>
  <c r="I51" i="24"/>
  <c r="I50" i="24"/>
  <c r="I49" i="24"/>
  <c r="I48" i="24"/>
  <c r="I47" i="24"/>
  <c r="I46" i="24"/>
  <c r="I45" i="24"/>
  <c r="I44" i="24"/>
  <c r="J42" i="28"/>
  <c r="I42" i="28"/>
  <c r="H42" i="28"/>
  <c r="G42" i="28"/>
  <c r="F42" i="28"/>
  <c r="G32" i="28"/>
  <c r="H32" i="28"/>
  <c r="I32" i="28"/>
  <c r="J32" i="28"/>
  <c r="F32" i="28"/>
  <c r="I266" i="24" l="1"/>
  <c r="G141" i="43"/>
  <c r="G12" i="43" s="1"/>
  <c r="H240" i="18" l="1"/>
  <c r="H87" i="18" l="1"/>
  <c r="F98" i="49"/>
  <c r="F97" i="49"/>
  <c r="F96" i="49"/>
  <c r="F11" i="40"/>
  <c r="J175" i="18" l="1"/>
  <c r="K175" i="18" s="1"/>
  <c r="L175" i="18" s="1"/>
  <c r="M175" i="18" s="1"/>
  <c r="K158" i="35" l="1"/>
  <c r="L158" i="35" s="1"/>
  <c r="M158" i="35" s="1"/>
  <c r="N158" i="35" s="1"/>
  <c r="O158" i="35" s="1"/>
  <c r="H26" i="44" l="1"/>
  <c r="I26" i="44"/>
  <c r="J26" i="44"/>
  <c r="K26" i="44"/>
  <c r="L26" i="44"/>
  <c r="G13" i="44" l="1"/>
  <c r="H13" i="44" l="1"/>
  <c r="F78" i="22" l="1"/>
  <c r="J239" i="31" s="1"/>
  <c r="D78" i="22"/>
  <c r="F76" i="22"/>
  <c r="J84" i="31" l="1"/>
  <c r="J104" i="31"/>
  <c r="J124" i="31"/>
  <c r="J144" i="31"/>
  <c r="J164" i="31"/>
  <c r="J184" i="31"/>
  <c r="J204" i="31"/>
  <c r="J224" i="31"/>
  <c r="J89" i="31"/>
  <c r="J109" i="31"/>
  <c r="J149" i="31"/>
  <c r="J169" i="31"/>
  <c r="J209" i="31"/>
  <c r="J229" i="31"/>
  <c r="J99" i="31"/>
  <c r="K99" i="31" s="1"/>
  <c r="J159" i="31"/>
  <c r="J219" i="31"/>
  <c r="J129" i="31"/>
  <c r="J189" i="31"/>
  <c r="J79" i="31"/>
  <c r="J119" i="31"/>
  <c r="J179" i="31"/>
  <c r="J74" i="31"/>
  <c r="J94" i="31"/>
  <c r="J114" i="31"/>
  <c r="J134" i="31"/>
  <c r="J154" i="31"/>
  <c r="J174" i="31"/>
  <c r="J194" i="31"/>
  <c r="J214" i="31"/>
  <c r="J234" i="31"/>
  <c r="J139" i="31"/>
  <c r="J199" i="31"/>
  <c r="J13" i="44"/>
  <c r="I13" i="44"/>
  <c r="G85" i="47"/>
  <c r="H17" i="47"/>
  <c r="H31" i="47"/>
  <c r="H30" i="47"/>
  <c r="H14" i="47"/>
  <c r="F82" i="47"/>
  <c r="F51" i="47"/>
  <c r="F73" i="47" s="1"/>
  <c r="F50" i="47"/>
  <c r="F72" i="47" s="1"/>
  <c r="F49" i="47"/>
  <c r="F48" i="47"/>
  <c r="F71" i="47" s="1"/>
  <c r="F47" i="47"/>
  <c r="F70" i="47" s="1"/>
  <c r="F46" i="47"/>
  <c r="F69" i="47" s="1"/>
  <c r="F36" i="47"/>
  <c r="F20" i="47"/>
  <c r="F52" i="47" l="1"/>
  <c r="L13" i="44"/>
  <c r="H46" i="47"/>
  <c r="F74" i="47"/>
  <c r="F85" i="47" s="1"/>
  <c r="I85" i="47" s="1"/>
  <c r="K85" i="47" s="1"/>
  <c r="K13" i="44" l="1"/>
  <c r="G124" i="22" l="1"/>
  <c r="E115" i="22" l="1"/>
  <c r="E117" i="22"/>
  <c r="H78" i="47" s="1"/>
  <c r="I78" i="47" s="1"/>
  <c r="K78" i="47" s="1"/>
  <c r="E118" i="22"/>
  <c r="H79" i="47" s="1"/>
  <c r="I79" i="47" s="1"/>
  <c r="K79" i="47" s="1"/>
  <c r="H80" i="47"/>
  <c r="I80" i="47" s="1"/>
  <c r="K80" i="47" s="1"/>
  <c r="E120" i="22"/>
  <c r="H81" i="47" s="1"/>
  <c r="I81" i="47" s="1"/>
  <c r="K81" i="47" s="1"/>
  <c r="H77" i="47"/>
  <c r="I77" i="47" s="1"/>
  <c r="D117" i="22"/>
  <c r="D118" i="22"/>
  <c r="D119" i="22"/>
  <c r="D120" i="22"/>
  <c r="D121" i="22"/>
  <c r="E81" i="22"/>
  <c r="G76" i="22"/>
  <c r="D76" i="22"/>
  <c r="I82" i="47" l="1"/>
  <c r="K77" i="47"/>
  <c r="K82" i="47" s="1"/>
  <c r="G98" i="22"/>
  <c r="F127" i="22" l="1"/>
  <c r="G127" i="22" s="1"/>
  <c r="F128" i="22"/>
  <c r="G128" i="22" s="1"/>
  <c r="F129" i="22"/>
  <c r="G129" i="22" s="1"/>
  <c r="F126" i="22"/>
  <c r="G126" i="22" s="1"/>
  <c r="G91" i="22"/>
  <c r="F135" i="22" l="1"/>
  <c r="G135" i="22"/>
  <c r="H70" i="47" s="1"/>
  <c r="J70" i="47" s="1"/>
  <c r="F136" i="22"/>
  <c r="G136" i="22"/>
  <c r="H71" i="47" s="1"/>
  <c r="J71" i="47" s="1"/>
  <c r="F134" i="22"/>
  <c r="G134" i="22"/>
  <c r="H69" i="47" s="1"/>
  <c r="J69" i="47" s="1"/>
  <c r="D193" i="22"/>
  <c r="C136" i="22" l="1"/>
  <c r="C137" i="22"/>
  <c r="G33" i="47" s="1"/>
  <c r="G94" i="22"/>
  <c r="G96" i="22"/>
  <c r="G93" i="22"/>
  <c r="G32" i="47" l="1"/>
  <c r="H32" i="47" s="1"/>
  <c r="F40" i="22"/>
  <c r="G89" i="22"/>
  <c r="H33" i="47"/>
  <c r="H49" i="47" s="1"/>
  <c r="G88" i="22"/>
  <c r="E90" i="22"/>
  <c r="I28" i="18"/>
  <c r="W58" i="29"/>
  <c r="U242" i="22"/>
  <c r="U254" i="22"/>
  <c r="U253" i="22"/>
  <c r="U252" i="22"/>
  <c r="U251" i="22"/>
  <c r="U250" i="22"/>
  <c r="U249" i="22"/>
  <c r="U248" i="22"/>
  <c r="U247" i="22"/>
  <c r="U246" i="22"/>
  <c r="U245" i="22"/>
  <c r="U244" i="22"/>
  <c r="U243" i="22"/>
  <c r="U241" i="22"/>
  <c r="U240" i="22"/>
  <c r="U239" i="22"/>
  <c r="U238" i="22"/>
  <c r="U237" i="22"/>
  <c r="U236" i="22"/>
  <c r="U235" i="22"/>
  <c r="U234" i="22"/>
  <c r="U233" i="22"/>
  <c r="U232" i="22"/>
  <c r="U231" i="22"/>
  <c r="U196" i="22"/>
  <c r="U195" i="22"/>
  <c r="U194" i="22"/>
  <c r="U193" i="22"/>
  <c r="U192" i="22"/>
  <c r="U191" i="22"/>
  <c r="U190" i="22"/>
  <c r="U189" i="22"/>
  <c r="U188" i="22"/>
  <c r="U187" i="22"/>
  <c r="U186" i="22"/>
  <c r="U185" i="22"/>
  <c r="U184" i="22"/>
  <c r="U183" i="22"/>
  <c r="U182" i="22"/>
  <c r="U181" i="22"/>
  <c r="U180" i="22"/>
  <c r="U179" i="22"/>
  <c r="U178" i="22"/>
  <c r="U230" i="22"/>
  <c r="U177" i="22"/>
  <c r="U176" i="22"/>
  <c r="U173" i="22"/>
  <c r="U174" i="22"/>
  <c r="U175" i="22"/>
  <c r="U172" i="22"/>
  <c r="D164" i="22"/>
  <c r="AB16" i="13"/>
  <c r="AB17" i="13"/>
  <c r="AB18" i="13"/>
  <c r="AB19" i="13"/>
  <c r="AB20" i="13"/>
  <c r="AB21" i="13"/>
  <c r="AB22" i="13"/>
  <c r="AB23" i="13"/>
  <c r="AB24" i="13"/>
  <c r="AB25" i="13"/>
  <c r="AB26" i="13"/>
  <c r="AB27" i="13"/>
  <c r="AB28" i="13"/>
  <c r="AB29" i="13"/>
  <c r="AB30" i="13"/>
  <c r="AB31" i="13"/>
  <c r="AB32" i="13"/>
  <c r="AB33" i="13"/>
  <c r="AB34" i="13"/>
  <c r="H40" i="22" l="1"/>
  <c r="G40" i="22"/>
  <c r="I40" i="22"/>
  <c r="J40" i="22"/>
  <c r="X58" i="29"/>
  <c r="P58" i="29"/>
  <c r="O18" i="43"/>
  <c r="O34" i="43"/>
  <c r="O50" i="43"/>
  <c r="O66" i="43"/>
  <c r="O82" i="43"/>
  <c r="O98" i="43"/>
  <c r="O114" i="43"/>
  <c r="O130" i="43"/>
  <c r="O45" i="43"/>
  <c r="O85" i="43"/>
  <c r="O19" i="43"/>
  <c r="O35" i="43"/>
  <c r="O51" i="43"/>
  <c r="O67" i="43"/>
  <c r="O83" i="43"/>
  <c r="O99" i="43"/>
  <c r="O115" i="43"/>
  <c r="O131" i="43"/>
  <c r="O25" i="43"/>
  <c r="O89" i="43"/>
  <c r="O16" i="43"/>
  <c r="O32" i="43"/>
  <c r="O48" i="43"/>
  <c r="O64" i="43"/>
  <c r="O80" i="43"/>
  <c r="O96" i="43"/>
  <c r="O112" i="43"/>
  <c r="O128" i="43"/>
  <c r="O21" i="43"/>
  <c r="O65" i="43"/>
  <c r="O105" i="43"/>
  <c r="O137" i="43"/>
  <c r="O22" i="43"/>
  <c r="O38" i="43"/>
  <c r="O54" i="43"/>
  <c r="O70" i="43"/>
  <c r="O86" i="43"/>
  <c r="O102" i="43"/>
  <c r="O118" i="43"/>
  <c r="O134" i="43"/>
  <c r="O57" i="43"/>
  <c r="O97" i="43"/>
  <c r="O23" i="43"/>
  <c r="O39" i="43"/>
  <c r="O55" i="43"/>
  <c r="O71" i="43"/>
  <c r="O87" i="43"/>
  <c r="O103" i="43"/>
  <c r="O119" i="43"/>
  <c r="O135" i="43"/>
  <c r="O37" i="43"/>
  <c r="O101" i="43"/>
  <c r="O20" i="43"/>
  <c r="O36" i="43"/>
  <c r="O52" i="43"/>
  <c r="O68" i="43"/>
  <c r="O84" i="43"/>
  <c r="O100" i="43"/>
  <c r="O116" i="43"/>
  <c r="O132" i="43"/>
  <c r="O33" i="43"/>
  <c r="O73" i="43"/>
  <c r="O121" i="43"/>
  <c r="O26" i="43"/>
  <c r="O42" i="43"/>
  <c r="O58" i="43"/>
  <c r="O74" i="43"/>
  <c r="O90" i="43"/>
  <c r="O106" i="43"/>
  <c r="O122" i="43"/>
  <c r="O138" i="43"/>
  <c r="O69" i="43"/>
  <c r="O109" i="43"/>
  <c r="O27" i="43"/>
  <c r="O43" i="43"/>
  <c r="O59" i="43"/>
  <c r="O75" i="43"/>
  <c r="O91" i="43"/>
  <c r="O107" i="43"/>
  <c r="O123" i="43"/>
  <c r="O139" i="43"/>
  <c r="O49" i="43"/>
  <c r="O113" i="43"/>
  <c r="O24" i="43"/>
  <c r="O40" i="43"/>
  <c r="O56" i="43"/>
  <c r="O72" i="43"/>
  <c r="O88" i="43"/>
  <c r="O104" i="43"/>
  <c r="O120" i="43"/>
  <c r="O136" i="43"/>
  <c r="O41" i="43"/>
  <c r="O81" i="43"/>
  <c r="O129" i="43"/>
  <c r="O30" i="43"/>
  <c r="O46" i="43"/>
  <c r="O62" i="43"/>
  <c r="O78" i="43"/>
  <c r="O94" i="43"/>
  <c r="O110" i="43"/>
  <c r="O126" i="43"/>
  <c r="O29" i="43"/>
  <c r="O77" i="43"/>
  <c r="O117" i="43"/>
  <c r="O31" i="43"/>
  <c r="O47" i="43"/>
  <c r="O63" i="43"/>
  <c r="O79" i="43"/>
  <c r="O95" i="43"/>
  <c r="O111" i="43"/>
  <c r="O127" i="43"/>
  <c r="O17" i="43"/>
  <c r="O61" i="43"/>
  <c r="O125" i="43"/>
  <c r="O28" i="43"/>
  <c r="O44" i="43"/>
  <c r="O60" i="43"/>
  <c r="O76" i="43"/>
  <c r="O92" i="43"/>
  <c r="O108" i="43"/>
  <c r="O124" i="43"/>
  <c r="O15" i="43"/>
  <c r="O53" i="43"/>
  <c r="O93" i="43"/>
  <c r="O133" i="43"/>
  <c r="AC269" i="13"/>
  <c r="AC237" i="13"/>
  <c r="AC205" i="13"/>
  <c r="AC173" i="13"/>
  <c r="AC141" i="13"/>
  <c r="AC109" i="13"/>
  <c r="AC77" i="13"/>
  <c r="AC45" i="13"/>
  <c r="AC290" i="13"/>
  <c r="AC289" i="13"/>
  <c r="AC288" i="13"/>
  <c r="AC287" i="13"/>
  <c r="AC286" i="13"/>
  <c r="AC285" i="13"/>
  <c r="AC284" i="13"/>
  <c r="AC283" i="13"/>
  <c r="AC282" i="13"/>
  <c r="AC281" i="13"/>
  <c r="AC280" i="13"/>
  <c r="AC279" i="13"/>
  <c r="AC278" i="13"/>
  <c r="AC277" i="13"/>
  <c r="AC276" i="13"/>
  <c r="AC275" i="13"/>
  <c r="AC274" i="13"/>
  <c r="AC273" i="13"/>
  <c r="AC272" i="13"/>
  <c r="AC271" i="13"/>
  <c r="AC258" i="13"/>
  <c r="AC257" i="13"/>
  <c r="AC256" i="13"/>
  <c r="AC255" i="13"/>
  <c r="AC254" i="13"/>
  <c r="AC253" i="13"/>
  <c r="AC252" i="13"/>
  <c r="AC251" i="13"/>
  <c r="AC250" i="13"/>
  <c r="AC249" i="13"/>
  <c r="AC248" i="13"/>
  <c r="AC247" i="13"/>
  <c r="AC246" i="13"/>
  <c r="AC245" i="13"/>
  <c r="AC244" i="13"/>
  <c r="AC243" i="13"/>
  <c r="AC242" i="13"/>
  <c r="AC241" i="13"/>
  <c r="AC240" i="13"/>
  <c r="AC239" i="13"/>
  <c r="AC226" i="13"/>
  <c r="AC225" i="13"/>
  <c r="AC224" i="13"/>
  <c r="AC223" i="13"/>
  <c r="AC222" i="13"/>
  <c r="AC221" i="13"/>
  <c r="AC220" i="13"/>
  <c r="AC219" i="13"/>
  <c r="AC218" i="13"/>
  <c r="AC217" i="13"/>
  <c r="AC216" i="13"/>
  <c r="AC215" i="13"/>
  <c r="AC214" i="13"/>
  <c r="AC213" i="13"/>
  <c r="AC212" i="13"/>
  <c r="AC211" i="13"/>
  <c r="AC210" i="13"/>
  <c r="AC209" i="13"/>
  <c r="AC208" i="13"/>
  <c r="AC207" i="13"/>
  <c r="AC194" i="13"/>
  <c r="AC193" i="13"/>
  <c r="AC192" i="13"/>
  <c r="AC191" i="13"/>
  <c r="AC190" i="13"/>
  <c r="AC189" i="13"/>
  <c r="AC188" i="13"/>
  <c r="AC187" i="13"/>
  <c r="AC186" i="13"/>
  <c r="AC185" i="13"/>
  <c r="AC184" i="13"/>
  <c r="AC183" i="13"/>
  <c r="AC182" i="13"/>
  <c r="AC181" i="13"/>
  <c r="AC180" i="13"/>
  <c r="AC179" i="13"/>
  <c r="AC178" i="13"/>
  <c r="AC177" i="13"/>
  <c r="AC176" i="13"/>
  <c r="AC175" i="13"/>
  <c r="AC162" i="13"/>
  <c r="AC161" i="13"/>
  <c r="AC160" i="13"/>
  <c r="AC159" i="13"/>
  <c r="AC158" i="13"/>
  <c r="AC157" i="13"/>
  <c r="AC156" i="13"/>
  <c r="AC155" i="13"/>
  <c r="AC154" i="13"/>
  <c r="AC153" i="13"/>
  <c r="AC152" i="13"/>
  <c r="AC151" i="13"/>
  <c r="AC150" i="13"/>
  <c r="AC149" i="13"/>
  <c r="AC148" i="13"/>
  <c r="AC147" i="13"/>
  <c r="AC146" i="13"/>
  <c r="AC145" i="13"/>
  <c r="AC144" i="13"/>
  <c r="AC143" i="13"/>
  <c r="AC130" i="13"/>
  <c r="AC129" i="13"/>
  <c r="AC128" i="13"/>
  <c r="AC127" i="13"/>
  <c r="AC126" i="13"/>
  <c r="AC125" i="13"/>
  <c r="AC124" i="13"/>
  <c r="AC123" i="13"/>
  <c r="AC122" i="13"/>
  <c r="AC121" i="13"/>
  <c r="AC120" i="13"/>
  <c r="AC119" i="13"/>
  <c r="AC118" i="13"/>
  <c r="AC117" i="13"/>
  <c r="AC116" i="13"/>
  <c r="AC115" i="13"/>
  <c r="AC114" i="13"/>
  <c r="AC113" i="13"/>
  <c r="AC112" i="13"/>
  <c r="AC111" i="13"/>
  <c r="AC98" i="13"/>
  <c r="AC97" i="13"/>
  <c r="AC96" i="13"/>
  <c r="AC95" i="13"/>
  <c r="AC94" i="13"/>
  <c r="AC93" i="13"/>
  <c r="AC92" i="13"/>
  <c r="AC91" i="13"/>
  <c r="AC90" i="13"/>
  <c r="AC89" i="13"/>
  <c r="AC88" i="13"/>
  <c r="AC87" i="13"/>
  <c r="AC86" i="13"/>
  <c r="AC85" i="13"/>
  <c r="AC84" i="13"/>
  <c r="AC83" i="13"/>
  <c r="AC82" i="13"/>
  <c r="AC81" i="13"/>
  <c r="AC80" i="13"/>
  <c r="AC79" i="13"/>
  <c r="AC66" i="13"/>
  <c r="AC65" i="13"/>
  <c r="AC64" i="13"/>
  <c r="AC63" i="13"/>
  <c r="AC62" i="13"/>
  <c r="AC61" i="13"/>
  <c r="AC60" i="13"/>
  <c r="AC59" i="13"/>
  <c r="AC58" i="13"/>
  <c r="AC57" i="13"/>
  <c r="AC56" i="13"/>
  <c r="AC55" i="13"/>
  <c r="AC54" i="13"/>
  <c r="AC53" i="13"/>
  <c r="AC52" i="13"/>
  <c r="AC51" i="13"/>
  <c r="AC50" i="13"/>
  <c r="AC49" i="13"/>
  <c r="AC48" i="13"/>
  <c r="AC47" i="13"/>
  <c r="AC16" i="13"/>
  <c r="AC17" i="13"/>
  <c r="AC18" i="13"/>
  <c r="AC19" i="13"/>
  <c r="AC20" i="13"/>
  <c r="AC21" i="13"/>
  <c r="AC22" i="13"/>
  <c r="AC23" i="13"/>
  <c r="AC24" i="13"/>
  <c r="AC25" i="13"/>
  <c r="AC26" i="13"/>
  <c r="AC27" i="13"/>
  <c r="AC28" i="13"/>
  <c r="AC29" i="13"/>
  <c r="AC30" i="13"/>
  <c r="AC31" i="13"/>
  <c r="AC32" i="13"/>
  <c r="AC33" i="13"/>
  <c r="AC34" i="13"/>
  <c r="AC15" i="13"/>
  <c r="AC13" i="13"/>
  <c r="Y58" i="29" l="1"/>
  <c r="Q58" i="29"/>
  <c r="Z58" i="29" l="1"/>
  <c r="R58" i="29"/>
  <c r="J290" i="13"/>
  <c r="J289" i="13"/>
  <c r="J288" i="13"/>
  <c r="J287" i="13"/>
  <c r="J286" i="13"/>
  <c r="J285" i="13"/>
  <c r="J284" i="13"/>
  <c r="J283" i="13"/>
  <c r="J282" i="13"/>
  <c r="J281" i="13"/>
  <c r="J280" i="13"/>
  <c r="J258" i="13"/>
  <c r="J257" i="13"/>
  <c r="J256" i="13"/>
  <c r="J255" i="13"/>
  <c r="J254" i="13"/>
  <c r="J253" i="13"/>
  <c r="J252" i="13"/>
  <c r="J251" i="13"/>
  <c r="J250" i="13"/>
  <c r="J249" i="13"/>
  <c r="J248" i="13"/>
  <c r="J226" i="13"/>
  <c r="J225" i="13"/>
  <c r="J224" i="13"/>
  <c r="J223" i="13"/>
  <c r="J222" i="13"/>
  <c r="J221" i="13"/>
  <c r="J220" i="13"/>
  <c r="J219" i="13"/>
  <c r="J218" i="13"/>
  <c r="J217" i="13"/>
  <c r="J216" i="13"/>
  <c r="J194" i="13"/>
  <c r="J193" i="13"/>
  <c r="J192" i="13"/>
  <c r="J191" i="13"/>
  <c r="J190" i="13"/>
  <c r="J189" i="13"/>
  <c r="J188" i="13"/>
  <c r="J187" i="13"/>
  <c r="J186" i="13"/>
  <c r="J185" i="13"/>
  <c r="J184" i="13"/>
  <c r="J162" i="13"/>
  <c r="J161" i="13"/>
  <c r="J160" i="13"/>
  <c r="J159" i="13"/>
  <c r="J158" i="13"/>
  <c r="J157" i="13"/>
  <c r="J156" i="13"/>
  <c r="J155" i="13"/>
  <c r="J154" i="13"/>
  <c r="J153" i="13"/>
  <c r="J152" i="13"/>
  <c r="J130" i="13"/>
  <c r="J129" i="13"/>
  <c r="J128" i="13"/>
  <c r="J127" i="13"/>
  <c r="J126" i="13"/>
  <c r="J125" i="13"/>
  <c r="J124" i="13"/>
  <c r="J123" i="13"/>
  <c r="J122" i="13"/>
  <c r="J121" i="13"/>
  <c r="J120" i="13"/>
  <c r="J98" i="13"/>
  <c r="J97" i="13"/>
  <c r="J96" i="13"/>
  <c r="J95" i="13"/>
  <c r="J94" i="13"/>
  <c r="J93" i="13"/>
  <c r="J92" i="13"/>
  <c r="J91" i="13"/>
  <c r="J90" i="13"/>
  <c r="J89" i="13"/>
  <c r="J88" i="13"/>
  <c r="J56" i="13"/>
  <c r="J57" i="13"/>
  <c r="J58" i="13"/>
  <c r="J59" i="13"/>
  <c r="J60" i="13"/>
  <c r="J61" i="13"/>
  <c r="J62" i="13"/>
  <c r="J63" i="13"/>
  <c r="J64" i="13"/>
  <c r="J65" i="13"/>
  <c r="J66" i="13"/>
  <c r="S58" i="29" l="1"/>
  <c r="AG272" i="13"/>
  <c r="AI272" i="13"/>
  <c r="AG273" i="13"/>
  <c r="AI273" i="13"/>
  <c r="AG274" i="13"/>
  <c r="AI274" i="13"/>
  <c r="AG275" i="13"/>
  <c r="AI275" i="13"/>
  <c r="AG276" i="13"/>
  <c r="AI276" i="13"/>
  <c r="AG277" i="13"/>
  <c r="AI277" i="13"/>
  <c r="AG278" i="13"/>
  <c r="AI278" i="13"/>
  <c r="AG279" i="13"/>
  <c r="AI279" i="13"/>
  <c r="AG280" i="13"/>
  <c r="AH280" i="13"/>
  <c r="AI280" i="13"/>
  <c r="AK280" i="13"/>
  <c r="AL280" i="13" s="1"/>
  <c r="AG281" i="13"/>
  <c r="AH281" i="13"/>
  <c r="AI281" i="13"/>
  <c r="AK281" i="13"/>
  <c r="AL281" i="13"/>
  <c r="AG282" i="13"/>
  <c r="AH282" i="13"/>
  <c r="AI282" i="13"/>
  <c r="AK282" i="13"/>
  <c r="AL282" i="13" s="1"/>
  <c r="AG283" i="13"/>
  <c r="AH283" i="13"/>
  <c r="AI283" i="13"/>
  <c r="AK283" i="13"/>
  <c r="AL283" i="13"/>
  <c r="AG284" i="13"/>
  <c r="AH284" i="13"/>
  <c r="AI284" i="13"/>
  <c r="AK284" i="13"/>
  <c r="AL284" i="13" s="1"/>
  <c r="AG285" i="13"/>
  <c r="AH285" i="13"/>
  <c r="AI285" i="13"/>
  <c r="AK285" i="13"/>
  <c r="AL285" i="13"/>
  <c r="AG286" i="13"/>
  <c r="AH286" i="13"/>
  <c r="AI286" i="13"/>
  <c r="AK286" i="13"/>
  <c r="AL286" i="13" s="1"/>
  <c r="AG287" i="13"/>
  <c r="AH287" i="13"/>
  <c r="AI287" i="13"/>
  <c r="AK287" i="13"/>
  <c r="AL287" i="13"/>
  <c r="AG288" i="13"/>
  <c r="AH288" i="13"/>
  <c r="AI288" i="13"/>
  <c r="AK288" i="13"/>
  <c r="AL288" i="13" s="1"/>
  <c r="AG289" i="13"/>
  <c r="AH289" i="13"/>
  <c r="AI289" i="13"/>
  <c r="AK289" i="13"/>
  <c r="AL289" i="13"/>
  <c r="AG290" i="13"/>
  <c r="AH290" i="13"/>
  <c r="AI290" i="13"/>
  <c r="AK290" i="13"/>
  <c r="AL290" i="13" s="1"/>
  <c r="AG240" i="13"/>
  <c r="AI240" i="13"/>
  <c r="AG241" i="13"/>
  <c r="AI241" i="13"/>
  <c r="AG242" i="13"/>
  <c r="AI242" i="13"/>
  <c r="AG243" i="13"/>
  <c r="AI243" i="13"/>
  <c r="AG244" i="13"/>
  <c r="AI244" i="13"/>
  <c r="AG245" i="13"/>
  <c r="AI245" i="13"/>
  <c r="AG246" i="13"/>
  <c r="AI246" i="13"/>
  <c r="AG247" i="13"/>
  <c r="AI247" i="13"/>
  <c r="AG248" i="13"/>
  <c r="AH248" i="13"/>
  <c r="AI248" i="13"/>
  <c r="AK248" i="13"/>
  <c r="AL248" i="13"/>
  <c r="AG249" i="13"/>
  <c r="AH249" i="13"/>
  <c r="AI249" i="13"/>
  <c r="AK249" i="13"/>
  <c r="AL249" i="13"/>
  <c r="AG250" i="13"/>
  <c r="AH250" i="13"/>
  <c r="AI250" i="13"/>
  <c r="AK250" i="13"/>
  <c r="AL250" i="13"/>
  <c r="AG251" i="13"/>
  <c r="AH251" i="13"/>
  <c r="AI251" i="13"/>
  <c r="AK251" i="13"/>
  <c r="AL251" i="13"/>
  <c r="AG252" i="13"/>
  <c r="AH252" i="13"/>
  <c r="AI252" i="13"/>
  <c r="AK252" i="13"/>
  <c r="AL252" i="13"/>
  <c r="AG253" i="13"/>
  <c r="AH253" i="13"/>
  <c r="AI253" i="13"/>
  <c r="AK253" i="13"/>
  <c r="AL253" i="13"/>
  <c r="AG254" i="13"/>
  <c r="AH254" i="13"/>
  <c r="AI254" i="13"/>
  <c r="AK254" i="13"/>
  <c r="AL254" i="13"/>
  <c r="AG255" i="13"/>
  <c r="AH255" i="13"/>
  <c r="AI255" i="13"/>
  <c r="AK255" i="13"/>
  <c r="AL255" i="13"/>
  <c r="AG256" i="13"/>
  <c r="AH256" i="13"/>
  <c r="AI256" i="13"/>
  <c r="AK256" i="13"/>
  <c r="AL256" i="13"/>
  <c r="AG257" i="13"/>
  <c r="AH257" i="13"/>
  <c r="AI257" i="13"/>
  <c r="AK257" i="13"/>
  <c r="AL257" i="13"/>
  <c r="AG258" i="13"/>
  <c r="AH258" i="13"/>
  <c r="AI258" i="13"/>
  <c r="AK258" i="13"/>
  <c r="AL258" i="13"/>
  <c r="AG208" i="13"/>
  <c r="AI208" i="13"/>
  <c r="AG209" i="13"/>
  <c r="AI209" i="13"/>
  <c r="AG210" i="13"/>
  <c r="AI210" i="13"/>
  <c r="AG211" i="13"/>
  <c r="AI211" i="13"/>
  <c r="AG212" i="13"/>
  <c r="AI212" i="13"/>
  <c r="AG213" i="13"/>
  <c r="AI213" i="13"/>
  <c r="AG214" i="13"/>
  <c r="AI214" i="13"/>
  <c r="AG215" i="13"/>
  <c r="AI215" i="13"/>
  <c r="AG216" i="13"/>
  <c r="AH216" i="13"/>
  <c r="AI216" i="13"/>
  <c r="AK216" i="13"/>
  <c r="AL216" i="13" s="1"/>
  <c r="AG217" i="13"/>
  <c r="AH217" i="13"/>
  <c r="AI217" i="13"/>
  <c r="AK217" i="13"/>
  <c r="AL217" i="13"/>
  <c r="AG218" i="13"/>
  <c r="AH218" i="13"/>
  <c r="AI218" i="13"/>
  <c r="AK218" i="13"/>
  <c r="AL218" i="13" s="1"/>
  <c r="AG219" i="13"/>
  <c r="AH219" i="13"/>
  <c r="AI219" i="13"/>
  <c r="AK219" i="13"/>
  <c r="AL219" i="13"/>
  <c r="AG220" i="13"/>
  <c r="AH220" i="13"/>
  <c r="AI220" i="13"/>
  <c r="AK220" i="13"/>
  <c r="AL220" i="13" s="1"/>
  <c r="AG221" i="13"/>
  <c r="AH221" i="13"/>
  <c r="AI221" i="13"/>
  <c r="AK221" i="13"/>
  <c r="AL221" i="13"/>
  <c r="AG222" i="13"/>
  <c r="AH222" i="13"/>
  <c r="AI222" i="13"/>
  <c r="AK222" i="13"/>
  <c r="AL222" i="13" s="1"/>
  <c r="AG223" i="13"/>
  <c r="AH223" i="13"/>
  <c r="AI223" i="13"/>
  <c r="AK223" i="13"/>
  <c r="AL223" i="13"/>
  <c r="AG224" i="13"/>
  <c r="AH224" i="13"/>
  <c r="AI224" i="13"/>
  <c r="AK224" i="13"/>
  <c r="AL224" i="13" s="1"/>
  <c r="AG225" i="13"/>
  <c r="AH225" i="13"/>
  <c r="AI225" i="13"/>
  <c r="AK225" i="13"/>
  <c r="AL225" i="13"/>
  <c r="AG226" i="13"/>
  <c r="AH226" i="13"/>
  <c r="AI226" i="13"/>
  <c r="AK226" i="13"/>
  <c r="AL226" i="13" s="1"/>
  <c r="AG176" i="13"/>
  <c r="AI176" i="13"/>
  <c r="AG177" i="13"/>
  <c r="AI177" i="13"/>
  <c r="AG178" i="13"/>
  <c r="AI178" i="13"/>
  <c r="AG179" i="13"/>
  <c r="AI179" i="13"/>
  <c r="AG180" i="13"/>
  <c r="AI180" i="13"/>
  <c r="AG181" i="13"/>
  <c r="AI181" i="13"/>
  <c r="AG182" i="13"/>
  <c r="AI182" i="13"/>
  <c r="AG183" i="13"/>
  <c r="AI183" i="13"/>
  <c r="AG184" i="13"/>
  <c r="AH184" i="13"/>
  <c r="AI184" i="13"/>
  <c r="AK184" i="13"/>
  <c r="AL184" i="13" s="1"/>
  <c r="AG185" i="13"/>
  <c r="AH185" i="13"/>
  <c r="AI185" i="13"/>
  <c r="AK185" i="13"/>
  <c r="AL185" i="13"/>
  <c r="AG186" i="13"/>
  <c r="AH186" i="13"/>
  <c r="AI186" i="13"/>
  <c r="AK186" i="13"/>
  <c r="AL186" i="13" s="1"/>
  <c r="AG187" i="13"/>
  <c r="AH187" i="13"/>
  <c r="AI187" i="13"/>
  <c r="AK187" i="13"/>
  <c r="AL187" i="13"/>
  <c r="AG188" i="13"/>
  <c r="AH188" i="13"/>
  <c r="AI188" i="13"/>
  <c r="AK188" i="13"/>
  <c r="AL188" i="13" s="1"/>
  <c r="AG189" i="13"/>
  <c r="AH189" i="13"/>
  <c r="AI189" i="13"/>
  <c r="AK189" i="13"/>
  <c r="AL189" i="13"/>
  <c r="AG190" i="13"/>
  <c r="AH190" i="13"/>
  <c r="AI190" i="13"/>
  <c r="AK190" i="13"/>
  <c r="AL190" i="13" s="1"/>
  <c r="AG191" i="13"/>
  <c r="AH191" i="13"/>
  <c r="AI191" i="13"/>
  <c r="AK191" i="13"/>
  <c r="AL191" i="13"/>
  <c r="AG192" i="13"/>
  <c r="AH192" i="13"/>
  <c r="AI192" i="13"/>
  <c r="AK192" i="13"/>
  <c r="AL192" i="13" s="1"/>
  <c r="AG193" i="13"/>
  <c r="AH193" i="13"/>
  <c r="AI193" i="13"/>
  <c r="AK193" i="13"/>
  <c r="AL193" i="13"/>
  <c r="AG194" i="13"/>
  <c r="AH194" i="13"/>
  <c r="AI194" i="13"/>
  <c r="AK194" i="13"/>
  <c r="AL194" i="13" s="1"/>
  <c r="AG144" i="13"/>
  <c r="AI144" i="13"/>
  <c r="AG145" i="13"/>
  <c r="AI145" i="13"/>
  <c r="AG146" i="13"/>
  <c r="AI146" i="13"/>
  <c r="AG147" i="13"/>
  <c r="AI147" i="13"/>
  <c r="AG148" i="13"/>
  <c r="AI148" i="13"/>
  <c r="AG149" i="13"/>
  <c r="AI149" i="13"/>
  <c r="AG150" i="13"/>
  <c r="AI150" i="13"/>
  <c r="AG151" i="13"/>
  <c r="AI151" i="13"/>
  <c r="AG152" i="13"/>
  <c r="AH152" i="13"/>
  <c r="AI152" i="13"/>
  <c r="AK152" i="13"/>
  <c r="AL152" i="13" s="1"/>
  <c r="AG153" i="13"/>
  <c r="AH153" i="13"/>
  <c r="AI153" i="13"/>
  <c r="AK153" i="13"/>
  <c r="AL153" i="13"/>
  <c r="AG154" i="13"/>
  <c r="AH154" i="13"/>
  <c r="AI154" i="13"/>
  <c r="AK154" i="13"/>
  <c r="AL154" i="13" s="1"/>
  <c r="AG155" i="13"/>
  <c r="AH155" i="13"/>
  <c r="AI155" i="13"/>
  <c r="AK155" i="13"/>
  <c r="AL155" i="13"/>
  <c r="AG156" i="13"/>
  <c r="AH156" i="13"/>
  <c r="AI156" i="13"/>
  <c r="AK156" i="13"/>
  <c r="AL156" i="13" s="1"/>
  <c r="AG157" i="13"/>
  <c r="AH157" i="13"/>
  <c r="AI157" i="13"/>
  <c r="AK157" i="13"/>
  <c r="AL157" i="13"/>
  <c r="AG158" i="13"/>
  <c r="AH158" i="13"/>
  <c r="AI158" i="13"/>
  <c r="AK158" i="13"/>
  <c r="AL158" i="13" s="1"/>
  <c r="AG159" i="13"/>
  <c r="AH159" i="13"/>
  <c r="AI159" i="13"/>
  <c r="AK159" i="13"/>
  <c r="AL159" i="13"/>
  <c r="AG160" i="13"/>
  <c r="AH160" i="13"/>
  <c r="AI160" i="13"/>
  <c r="AK160" i="13"/>
  <c r="AL160" i="13" s="1"/>
  <c r="AG161" i="13"/>
  <c r="AH161" i="13"/>
  <c r="AI161" i="13"/>
  <c r="AK161" i="13"/>
  <c r="AL161" i="13"/>
  <c r="AG162" i="13"/>
  <c r="AH162" i="13"/>
  <c r="AI162" i="13"/>
  <c r="AK162" i="13"/>
  <c r="AL162" i="13" s="1"/>
  <c r="AG112" i="13"/>
  <c r="AI112" i="13"/>
  <c r="AG113" i="13"/>
  <c r="AI113" i="13"/>
  <c r="AG114" i="13"/>
  <c r="AI114" i="13"/>
  <c r="AG115" i="13"/>
  <c r="AI115" i="13"/>
  <c r="AG116" i="13"/>
  <c r="AI116" i="13"/>
  <c r="AG117" i="13"/>
  <c r="AI117" i="13"/>
  <c r="AG118" i="13"/>
  <c r="AI118" i="13"/>
  <c r="AG119" i="13"/>
  <c r="AI119" i="13"/>
  <c r="AG120" i="13"/>
  <c r="AH120" i="13"/>
  <c r="AI120" i="13"/>
  <c r="AK120" i="13"/>
  <c r="AL120" i="13" s="1"/>
  <c r="AG121" i="13"/>
  <c r="AH121" i="13"/>
  <c r="AI121" i="13"/>
  <c r="AK121" i="13"/>
  <c r="AL121" i="13"/>
  <c r="AG122" i="13"/>
  <c r="AH122" i="13"/>
  <c r="AI122" i="13"/>
  <c r="AK122" i="13"/>
  <c r="AL122" i="13" s="1"/>
  <c r="AG123" i="13"/>
  <c r="AH123" i="13"/>
  <c r="AI123" i="13"/>
  <c r="AK123" i="13"/>
  <c r="AL123" i="13"/>
  <c r="AG124" i="13"/>
  <c r="AH124" i="13"/>
  <c r="AI124" i="13"/>
  <c r="AK124" i="13"/>
  <c r="AL124" i="13" s="1"/>
  <c r="AG125" i="13"/>
  <c r="AH125" i="13"/>
  <c r="AI125" i="13"/>
  <c r="AK125" i="13"/>
  <c r="AL125" i="13"/>
  <c r="AG126" i="13"/>
  <c r="AH126" i="13"/>
  <c r="AI126" i="13"/>
  <c r="AK126" i="13"/>
  <c r="AL126" i="13" s="1"/>
  <c r="AG127" i="13"/>
  <c r="AH127" i="13"/>
  <c r="AI127" i="13"/>
  <c r="AK127" i="13"/>
  <c r="AL127" i="13"/>
  <c r="AG128" i="13"/>
  <c r="AH128" i="13"/>
  <c r="AI128" i="13"/>
  <c r="AK128" i="13"/>
  <c r="AL128" i="13" s="1"/>
  <c r="AG129" i="13"/>
  <c r="AH129" i="13"/>
  <c r="AI129" i="13"/>
  <c r="AK129" i="13"/>
  <c r="AL129" i="13"/>
  <c r="AG130" i="13"/>
  <c r="AH130" i="13"/>
  <c r="AI130" i="13"/>
  <c r="AK130" i="13"/>
  <c r="AL130" i="13" s="1"/>
  <c r="AG80" i="13"/>
  <c r="AI80" i="13"/>
  <c r="AG81" i="13"/>
  <c r="AI81" i="13"/>
  <c r="AG82" i="13"/>
  <c r="AI82" i="13"/>
  <c r="AG83" i="13"/>
  <c r="AI83" i="13"/>
  <c r="AG84" i="13"/>
  <c r="AI84" i="13"/>
  <c r="AG85" i="13"/>
  <c r="AI85" i="13"/>
  <c r="AG86" i="13"/>
  <c r="AI86" i="13"/>
  <c r="AG87" i="13"/>
  <c r="AI87" i="13"/>
  <c r="AG88" i="13"/>
  <c r="AH88" i="13"/>
  <c r="AI88" i="13"/>
  <c r="AK88" i="13"/>
  <c r="AL88" i="13"/>
  <c r="AG89" i="13"/>
  <c r="AH89" i="13"/>
  <c r="AI89" i="13"/>
  <c r="AK89" i="13"/>
  <c r="AL89" i="13"/>
  <c r="AG90" i="13"/>
  <c r="AH90" i="13"/>
  <c r="AI90" i="13"/>
  <c r="AK90" i="13"/>
  <c r="AL90" i="13" s="1"/>
  <c r="AG91" i="13"/>
  <c r="AH91" i="13"/>
  <c r="AI91" i="13"/>
  <c r="AK91" i="13"/>
  <c r="AL91" i="13"/>
  <c r="AG92" i="13"/>
  <c r="AH92" i="13"/>
  <c r="AI92" i="13"/>
  <c r="AK92" i="13"/>
  <c r="AL92" i="13" s="1"/>
  <c r="AG93" i="13"/>
  <c r="AH93" i="13"/>
  <c r="AI93" i="13"/>
  <c r="AK93" i="13"/>
  <c r="AL93" i="13"/>
  <c r="AG94" i="13"/>
  <c r="AH94" i="13"/>
  <c r="AI94" i="13"/>
  <c r="AK94" i="13"/>
  <c r="AL94" i="13" s="1"/>
  <c r="AG95" i="13"/>
  <c r="AH95" i="13"/>
  <c r="AI95" i="13"/>
  <c r="AK95" i="13"/>
  <c r="AL95" i="13"/>
  <c r="AG96" i="13"/>
  <c r="AH96" i="13"/>
  <c r="AI96" i="13"/>
  <c r="AK96" i="13"/>
  <c r="AL96" i="13" s="1"/>
  <c r="AG97" i="13"/>
  <c r="AH97" i="13"/>
  <c r="AI97" i="13"/>
  <c r="AK97" i="13"/>
  <c r="AL97" i="13"/>
  <c r="AG98" i="13"/>
  <c r="AH98" i="13"/>
  <c r="AI98" i="13"/>
  <c r="AK98" i="13"/>
  <c r="AL98" i="13" s="1"/>
  <c r="AG48" i="13"/>
  <c r="AI48" i="13"/>
  <c r="AG49" i="13"/>
  <c r="AI49" i="13"/>
  <c r="AG50" i="13"/>
  <c r="AI50" i="13"/>
  <c r="AG51" i="13"/>
  <c r="AI51" i="13"/>
  <c r="AG52" i="13"/>
  <c r="AI52" i="13"/>
  <c r="AG53" i="13"/>
  <c r="AI53" i="13"/>
  <c r="AG54" i="13"/>
  <c r="AI54" i="13"/>
  <c r="AG55" i="13"/>
  <c r="AI55" i="13"/>
  <c r="AG56" i="13"/>
  <c r="AH56" i="13"/>
  <c r="AI56" i="13"/>
  <c r="AK56" i="13"/>
  <c r="AL56" i="13"/>
  <c r="AG57" i="13"/>
  <c r="AH57" i="13"/>
  <c r="AI57" i="13"/>
  <c r="AK57" i="13"/>
  <c r="AL57" i="13"/>
  <c r="AG58" i="13"/>
  <c r="AH58" i="13"/>
  <c r="AI58" i="13"/>
  <c r="AK58" i="13"/>
  <c r="AL58" i="13"/>
  <c r="AG59" i="13"/>
  <c r="AH59" i="13"/>
  <c r="AI59" i="13"/>
  <c r="AK59" i="13"/>
  <c r="AL59" i="13"/>
  <c r="AG60" i="13"/>
  <c r="AH60" i="13"/>
  <c r="AI60" i="13"/>
  <c r="AK60" i="13"/>
  <c r="AL60" i="13"/>
  <c r="AG61" i="13"/>
  <c r="AH61" i="13"/>
  <c r="AI61" i="13"/>
  <c r="AK61" i="13"/>
  <c r="AL61" i="13"/>
  <c r="AG62" i="13"/>
  <c r="AH62" i="13"/>
  <c r="AI62" i="13"/>
  <c r="AK62" i="13"/>
  <c r="AL62" i="13"/>
  <c r="AG63" i="13"/>
  <c r="AH63" i="13"/>
  <c r="AI63" i="13"/>
  <c r="AK63" i="13"/>
  <c r="AL63" i="13"/>
  <c r="AG64" i="13"/>
  <c r="AH64" i="13"/>
  <c r="AI64" i="13"/>
  <c r="AK64" i="13"/>
  <c r="AL64" i="13"/>
  <c r="AG65" i="13"/>
  <c r="AH65" i="13"/>
  <c r="AI65" i="13"/>
  <c r="AK65" i="13"/>
  <c r="AL65" i="13"/>
  <c r="AG66" i="13"/>
  <c r="AH66" i="13"/>
  <c r="AI66" i="13"/>
  <c r="AK66" i="13"/>
  <c r="AL66" i="13"/>
  <c r="AD16" i="13"/>
  <c r="AE16" i="13"/>
  <c r="AG16" i="13"/>
  <c r="AI16" i="13"/>
  <c r="AJ16" i="13"/>
  <c r="AK16" i="13"/>
  <c r="AL16" i="13" s="1"/>
  <c r="AE17" i="13"/>
  <c r="AG17" i="13"/>
  <c r="AI17" i="13"/>
  <c r="AJ17" i="13"/>
  <c r="AK17" i="13"/>
  <c r="AL17" i="13" s="1"/>
  <c r="AD18" i="13"/>
  <c r="AG18" i="13"/>
  <c r="AI18" i="13"/>
  <c r="AJ18" i="13"/>
  <c r="AK18" i="13"/>
  <c r="AL18" i="13" s="1"/>
  <c r="AE19" i="13"/>
  <c r="AD19" i="13"/>
  <c r="AG19" i="13"/>
  <c r="AI19" i="13"/>
  <c r="AJ19" i="13"/>
  <c r="AK19" i="13"/>
  <c r="AL19" i="13" s="1"/>
  <c r="AD20" i="13"/>
  <c r="AE20" i="13"/>
  <c r="AG20" i="13"/>
  <c r="AI20" i="13"/>
  <c r="AJ20" i="13"/>
  <c r="AK20" i="13"/>
  <c r="AL20" i="13" s="1"/>
  <c r="AE21" i="13"/>
  <c r="AD21" i="13"/>
  <c r="AG21" i="13"/>
  <c r="AI21" i="13"/>
  <c r="AJ21" i="13"/>
  <c r="AK21" i="13"/>
  <c r="AL21" i="13" s="1"/>
  <c r="AD22" i="13"/>
  <c r="AE22" i="13"/>
  <c r="AG22" i="13"/>
  <c r="AI22" i="13"/>
  <c r="AJ22" i="13"/>
  <c r="AK22" i="13"/>
  <c r="AL22" i="13" s="1"/>
  <c r="AE23" i="13"/>
  <c r="AD23" i="13"/>
  <c r="AG23" i="13"/>
  <c r="AI23" i="13"/>
  <c r="AJ23" i="13"/>
  <c r="AK23" i="13"/>
  <c r="AL23" i="13" s="1"/>
  <c r="AD24" i="13"/>
  <c r="AG24" i="13"/>
  <c r="AH24" i="13"/>
  <c r="AI24" i="13"/>
  <c r="AJ24" i="13"/>
  <c r="AK24" i="13"/>
  <c r="AL24" i="13"/>
  <c r="AE25" i="13"/>
  <c r="AG25" i="13"/>
  <c r="AH25" i="13"/>
  <c r="AI25" i="13"/>
  <c r="AJ25" i="13"/>
  <c r="AK25" i="13"/>
  <c r="AL25" i="13"/>
  <c r="AD26" i="13"/>
  <c r="AG26" i="13"/>
  <c r="AH26" i="13"/>
  <c r="AI26" i="13"/>
  <c r="AJ26" i="13"/>
  <c r="AK26" i="13"/>
  <c r="AL26" i="13" s="1"/>
  <c r="AE27" i="13"/>
  <c r="AD27" i="13"/>
  <c r="AG27" i="13"/>
  <c r="AH27" i="13"/>
  <c r="AI27" i="13"/>
  <c r="AJ27" i="13"/>
  <c r="AK27" i="13"/>
  <c r="AL27" i="13"/>
  <c r="AD28" i="13"/>
  <c r="AE28" i="13"/>
  <c r="AG28" i="13"/>
  <c r="AH28" i="13"/>
  <c r="AI28" i="13"/>
  <c r="AJ28" i="13"/>
  <c r="AK28" i="13"/>
  <c r="AL28" i="13" s="1"/>
  <c r="AE29" i="13"/>
  <c r="AG29" i="13"/>
  <c r="AH29" i="13"/>
  <c r="AI29" i="13"/>
  <c r="AJ29" i="13"/>
  <c r="AK29" i="13"/>
  <c r="AL29" i="13"/>
  <c r="AD30" i="13"/>
  <c r="AG30" i="13"/>
  <c r="AH30" i="13"/>
  <c r="AI30" i="13"/>
  <c r="AJ30" i="13"/>
  <c r="AK30" i="13"/>
  <c r="AL30" i="13"/>
  <c r="AE31" i="13"/>
  <c r="AG31" i="13"/>
  <c r="AH31" i="13"/>
  <c r="AI31" i="13"/>
  <c r="AJ31" i="13"/>
  <c r="AK31" i="13"/>
  <c r="AL31" i="13"/>
  <c r="AD32" i="13"/>
  <c r="AG32" i="13"/>
  <c r="AH32" i="13"/>
  <c r="AI32" i="13"/>
  <c r="AJ32" i="13"/>
  <c r="AK32" i="13"/>
  <c r="AL32" i="13"/>
  <c r="AE33" i="13"/>
  <c r="AG33" i="13"/>
  <c r="AH33" i="13"/>
  <c r="AI33" i="13"/>
  <c r="AJ33" i="13"/>
  <c r="AK33" i="13"/>
  <c r="AL33" i="13"/>
  <c r="AD34" i="13"/>
  <c r="AG34" i="13"/>
  <c r="AH34" i="13"/>
  <c r="AI34" i="13"/>
  <c r="AJ34" i="13"/>
  <c r="AK34" i="13"/>
  <c r="AL34" i="13" s="1"/>
  <c r="E264" i="13"/>
  <c r="E263" i="13"/>
  <c r="E232" i="13"/>
  <c r="E231" i="13"/>
  <c r="E200" i="13"/>
  <c r="E199" i="13"/>
  <c r="E168" i="13"/>
  <c r="E167" i="13"/>
  <c r="E136" i="13"/>
  <c r="E135" i="13"/>
  <c r="E104" i="13"/>
  <c r="E103" i="13"/>
  <c r="E72" i="13"/>
  <c r="E71" i="13"/>
  <c r="E40" i="13"/>
  <c r="E39" i="13"/>
  <c r="E8" i="13"/>
  <c r="E7" i="13"/>
  <c r="Q291" i="13"/>
  <c r="N291" i="13"/>
  <c r="M291" i="13"/>
  <c r="U290" i="13"/>
  <c r="T290" i="13"/>
  <c r="S290" i="13"/>
  <c r="R290" i="13"/>
  <c r="O290" i="13"/>
  <c r="P290" i="13" s="1"/>
  <c r="U289" i="13"/>
  <c r="T289" i="13"/>
  <c r="S289" i="13"/>
  <c r="R289" i="13"/>
  <c r="P289" i="13"/>
  <c r="O289" i="13"/>
  <c r="U288" i="13"/>
  <c r="T288" i="13"/>
  <c r="S288" i="13"/>
  <c r="R288" i="13"/>
  <c r="P288" i="13"/>
  <c r="O288" i="13"/>
  <c r="U287" i="13"/>
  <c r="T287" i="13"/>
  <c r="S287" i="13"/>
  <c r="R287" i="13"/>
  <c r="P287" i="13"/>
  <c r="O287" i="13"/>
  <c r="U286" i="13"/>
  <c r="T286" i="13"/>
  <c r="S286" i="13"/>
  <c r="R286" i="13"/>
  <c r="P286" i="13"/>
  <c r="O286" i="13"/>
  <c r="U285" i="13"/>
  <c r="T285" i="13"/>
  <c r="S285" i="13"/>
  <c r="R285" i="13"/>
  <c r="P285" i="13"/>
  <c r="O285" i="13"/>
  <c r="U284" i="13"/>
  <c r="T284" i="13"/>
  <c r="S284" i="13"/>
  <c r="R284" i="13"/>
  <c r="P284" i="13"/>
  <c r="O284" i="13"/>
  <c r="U283" i="13"/>
  <c r="T283" i="13"/>
  <c r="S283" i="13"/>
  <c r="R283" i="13"/>
  <c r="P283" i="13"/>
  <c r="O283" i="13"/>
  <c r="U282" i="13"/>
  <c r="T282" i="13"/>
  <c r="S282" i="13"/>
  <c r="R282" i="13"/>
  <c r="O282" i="13"/>
  <c r="P282" i="13" s="1"/>
  <c r="U281" i="13"/>
  <c r="T281" i="13"/>
  <c r="S281" i="13"/>
  <c r="R281" i="13"/>
  <c r="P281" i="13"/>
  <c r="O281" i="13"/>
  <c r="U280" i="13"/>
  <c r="T280" i="13"/>
  <c r="S280" i="13"/>
  <c r="R280" i="13"/>
  <c r="O280" i="13"/>
  <c r="P280" i="13" s="1"/>
  <c r="AI271" i="13"/>
  <c r="AG271" i="13"/>
  <c r="Q259" i="13"/>
  <c r="N259" i="13"/>
  <c r="M259" i="13"/>
  <c r="U258" i="13"/>
  <c r="T258" i="13"/>
  <c r="S258" i="13"/>
  <c r="R258" i="13"/>
  <c r="O258" i="13"/>
  <c r="P258" i="13" s="1"/>
  <c r="U257" i="13"/>
  <c r="T257" i="13"/>
  <c r="S257" i="13"/>
  <c r="R257" i="13"/>
  <c r="P257" i="13"/>
  <c r="O257" i="13"/>
  <c r="U256" i="13"/>
  <c r="T256" i="13"/>
  <c r="S256" i="13"/>
  <c r="R256" i="13"/>
  <c r="O256" i="13"/>
  <c r="P256" i="13" s="1"/>
  <c r="U255" i="13"/>
  <c r="T255" i="13"/>
  <c r="S255" i="13"/>
  <c r="R255" i="13"/>
  <c r="P255" i="13"/>
  <c r="O255" i="13"/>
  <c r="U254" i="13"/>
  <c r="T254" i="13"/>
  <c r="S254" i="13"/>
  <c r="R254" i="13"/>
  <c r="O254" i="13"/>
  <c r="P254" i="13" s="1"/>
  <c r="U253" i="13"/>
  <c r="T253" i="13"/>
  <c r="S253" i="13"/>
  <c r="R253" i="13"/>
  <c r="P253" i="13"/>
  <c r="O253" i="13"/>
  <c r="U252" i="13"/>
  <c r="T252" i="13"/>
  <c r="S252" i="13"/>
  <c r="R252" i="13"/>
  <c r="O252" i="13"/>
  <c r="P252" i="13" s="1"/>
  <c r="U251" i="13"/>
  <c r="T251" i="13"/>
  <c r="S251" i="13"/>
  <c r="R251" i="13"/>
  <c r="P251" i="13"/>
  <c r="O251" i="13"/>
  <c r="U250" i="13"/>
  <c r="T250" i="13"/>
  <c r="S250" i="13"/>
  <c r="R250" i="13"/>
  <c r="O250" i="13"/>
  <c r="P250" i="13" s="1"/>
  <c r="U249" i="13"/>
  <c r="T249" i="13"/>
  <c r="S249" i="13"/>
  <c r="R249" i="13"/>
  <c r="P249" i="13"/>
  <c r="O249" i="13"/>
  <c r="U248" i="13"/>
  <c r="T248" i="13"/>
  <c r="S248" i="13"/>
  <c r="R248" i="13"/>
  <c r="O248" i="13"/>
  <c r="P248" i="13" s="1"/>
  <c r="AI239" i="13"/>
  <c r="AG239" i="13"/>
  <c r="Q227" i="13"/>
  <c r="N227" i="13"/>
  <c r="M227" i="13"/>
  <c r="U226" i="13"/>
  <c r="T226" i="13"/>
  <c r="S226" i="13"/>
  <c r="R226" i="13"/>
  <c r="O226" i="13"/>
  <c r="P226" i="13" s="1"/>
  <c r="U225" i="13"/>
  <c r="T225" i="13"/>
  <c r="S225" i="13"/>
  <c r="R225" i="13"/>
  <c r="P225" i="13"/>
  <c r="O225" i="13"/>
  <c r="U224" i="13"/>
  <c r="T224" i="13"/>
  <c r="S224" i="13"/>
  <c r="R224" i="13"/>
  <c r="O224" i="13"/>
  <c r="P224" i="13" s="1"/>
  <c r="U223" i="13"/>
  <c r="T223" i="13"/>
  <c r="S223" i="13"/>
  <c r="R223" i="13"/>
  <c r="P223" i="13"/>
  <c r="O223" i="13"/>
  <c r="U222" i="13"/>
  <c r="T222" i="13"/>
  <c r="S222" i="13"/>
  <c r="R222" i="13"/>
  <c r="O222" i="13"/>
  <c r="P222" i="13" s="1"/>
  <c r="U221" i="13"/>
  <c r="T221" i="13"/>
  <c r="S221" i="13"/>
  <c r="R221" i="13"/>
  <c r="P221" i="13"/>
  <c r="O221" i="13"/>
  <c r="U220" i="13"/>
  <c r="T220" i="13"/>
  <c r="S220" i="13"/>
  <c r="R220" i="13"/>
  <c r="O220" i="13"/>
  <c r="P220" i="13" s="1"/>
  <c r="U219" i="13"/>
  <c r="T219" i="13"/>
  <c r="S219" i="13"/>
  <c r="R219" i="13"/>
  <c r="P219" i="13"/>
  <c r="O219" i="13"/>
  <c r="U218" i="13"/>
  <c r="T218" i="13"/>
  <c r="S218" i="13"/>
  <c r="R218" i="13"/>
  <c r="O218" i="13"/>
  <c r="P218" i="13" s="1"/>
  <c r="U217" i="13"/>
  <c r="T217" i="13"/>
  <c r="S217" i="13"/>
  <c r="R217" i="13"/>
  <c r="P217" i="13"/>
  <c r="O217" i="13"/>
  <c r="U216" i="13"/>
  <c r="T216" i="13"/>
  <c r="S216" i="13"/>
  <c r="R216" i="13"/>
  <c r="O216" i="13"/>
  <c r="P216" i="13" s="1"/>
  <c r="AI207" i="13"/>
  <c r="AG207" i="13"/>
  <c r="Q195" i="13"/>
  <c r="N195" i="13"/>
  <c r="M195" i="13"/>
  <c r="U194" i="13"/>
  <c r="T194" i="13"/>
  <c r="S194" i="13"/>
  <c r="R194" i="13"/>
  <c r="O194" i="13"/>
  <c r="P194" i="13" s="1"/>
  <c r="U193" i="13"/>
  <c r="T193" i="13"/>
  <c r="S193" i="13"/>
  <c r="R193" i="13"/>
  <c r="P193" i="13"/>
  <c r="O193" i="13"/>
  <c r="U192" i="13"/>
  <c r="T192" i="13"/>
  <c r="S192" i="13"/>
  <c r="R192" i="13"/>
  <c r="O192" i="13"/>
  <c r="P192" i="13" s="1"/>
  <c r="U191" i="13"/>
  <c r="T191" i="13"/>
  <c r="S191" i="13"/>
  <c r="R191" i="13"/>
  <c r="P191" i="13"/>
  <c r="O191" i="13"/>
  <c r="U190" i="13"/>
  <c r="T190" i="13"/>
  <c r="S190" i="13"/>
  <c r="R190" i="13"/>
  <c r="O190" i="13"/>
  <c r="P190" i="13" s="1"/>
  <c r="U189" i="13"/>
  <c r="T189" i="13"/>
  <c r="S189" i="13"/>
  <c r="R189" i="13"/>
  <c r="P189" i="13"/>
  <c r="O189" i="13"/>
  <c r="U188" i="13"/>
  <c r="T188" i="13"/>
  <c r="S188" i="13"/>
  <c r="R188" i="13"/>
  <c r="O188" i="13"/>
  <c r="P188" i="13" s="1"/>
  <c r="U187" i="13"/>
  <c r="T187" i="13"/>
  <c r="S187" i="13"/>
  <c r="R187" i="13"/>
  <c r="P187" i="13"/>
  <c r="O187" i="13"/>
  <c r="U186" i="13"/>
  <c r="T186" i="13"/>
  <c r="S186" i="13"/>
  <c r="R186" i="13"/>
  <c r="O186" i="13"/>
  <c r="P186" i="13" s="1"/>
  <c r="U185" i="13"/>
  <c r="T185" i="13"/>
  <c r="S185" i="13"/>
  <c r="R185" i="13"/>
  <c r="P185" i="13"/>
  <c r="O185" i="13"/>
  <c r="U184" i="13"/>
  <c r="T184" i="13"/>
  <c r="S184" i="13"/>
  <c r="R184" i="13"/>
  <c r="O184" i="13"/>
  <c r="P184" i="13" s="1"/>
  <c r="AI175" i="13"/>
  <c r="AG175" i="13"/>
  <c r="Q163" i="13"/>
  <c r="N163" i="13"/>
  <c r="M163" i="13"/>
  <c r="U162" i="13"/>
  <c r="T162" i="13"/>
  <c r="S162" i="13"/>
  <c r="R162" i="13"/>
  <c r="O162" i="13"/>
  <c r="P162" i="13" s="1"/>
  <c r="U161" i="13"/>
  <c r="T161" i="13"/>
  <c r="S161" i="13"/>
  <c r="R161" i="13"/>
  <c r="P161" i="13"/>
  <c r="O161" i="13"/>
  <c r="U160" i="13"/>
  <c r="T160" i="13"/>
  <c r="S160" i="13"/>
  <c r="R160" i="13"/>
  <c r="O160" i="13"/>
  <c r="P160" i="13" s="1"/>
  <c r="U159" i="13"/>
  <c r="T159" i="13"/>
  <c r="S159" i="13"/>
  <c r="R159" i="13"/>
  <c r="P159" i="13"/>
  <c r="O159" i="13"/>
  <c r="U158" i="13"/>
  <c r="T158" i="13"/>
  <c r="S158" i="13"/>
  <c r="R158" i="13"/>
  <c r="O158" i="13"/>
  <c r="P158" i="13" s="1"/>
  <c r="U157" i="13"/>
  <c r="T157" i="13"/>
  <c r="S157" i="13"/>
  <c r="R157" i="13"/>
  <c r="P157" i="13"/>
  <c r="O157" i="13"/>
  <c r="U156" i="13"/>
  <c r="T156" i="13"/>
  <c r="S156" i="13"/>
  <c r="R156" i="13"/>
  <c r="O156" i="13"/>
  <c r="P156" i="13" s="1"/>
  <c r="U155" i="13"/>
  <c r="T155" i="13"/>
  <c r="S155" i="13"/>
  <c r="R155" i="13"/>
  <c r="P155" i="13"/>
  <c r="O155" i="13"/>
  <c r="U154" i="13"/>
  <c r="T154" i="13"/>
  <c r="S154" i="13"/>
  <c r="R154" i="13"/>
  <c r="O154" i="13"/>
  <c r="P154" i="13" s="1"/>
  <c r="U153" i="13"/>
  <c r="T153" i="13"/>
  <c r="S153" i="13"/>
  <c r="R153" i="13"/>
  <c r="P153" i="13"/>
  <c r="O153" i="13"/>
  <c r="U152" i="13"/>
  <c r="T152" i="13"/>
  <c r="S152" i="13"/>
  <c r="R152" i="13"/>
  <c r="O152" i="13"/>
  <c r="P152" i="13" s="1"/>
  <c r="AI143" i="13"/>
  <c r="AG143" i="13"/>
  <c r="Q131" i="13"/>
  <c r="N131" i="13"/>
  <c r="M131" i="13"/>
  <c r="U130" i="13"/>
  <c r="T130" i="13"/>
  <c r="S130" i="13"/>
  <c r="R130" i="13"/>
  <c r="O130" i="13"/>
  <c r="P130" i="13" s="1"/>
  <c r="U129" i="13"/>
  <c r="T129" i="13"/>
  <c r="S129" i="13"/>
  <c r="R129" i="13"/>
  <c r="P129" i="13"/>
  <c r="O129" i="13"/>
  <c r="U128" i="13"/>
  <c r="T128" i="13"/>
  <c r="S128" i="13"/>
  <c r="R128" i="13"/>
  <c r="O128" i="13"/>
  <c r="P128" i="13" s="1"/>
  <c r="U127" i="13"/>
  <c r="T127" i="13"/>
  <c r="S127" i="13"/>
  <c r="R127" i="13"/>
  <c r="P127" i="13"/>
  <c r="O127" i="13"/>
  <c r="U126" i="13"/>
  <c r="T126" i="13"/>
  <c r="S126" i="13"/>
  <c r="R126" i="13"/>
  <c r="O126" i="13"/>
  <c r="P126" i="13" s="1"/>
  <c r="U125" i="13"/>
  <c r="T125" i="13"/>
  <c r="S125" i="13"/>
  <c r="R125" i="13"/>
  <c r="P125" i="13"/>
  <c r="O125" i="13"/>
  <c r="U124" i="13"/>
  <c r="T124" i="13"/>
  <c r="S124" i="13"/>
  <c r="R124" i="13"/>
  <c r="O124" i="13"/>
  <c r="P124" i="13" s="1"/>
  <c r="U123" i="13"/>
  <c r="T123" i="13"/>
  <c r="S123" i="13"/>
  <c r="R123" i="13"/>
  <c r="P123" i="13"/>
  <c r="O123" i="13"/>
  <c r="U122" i="13"/>
  <c r="T122" i="13"/>
  <c r="S122" i="13"/>
  <c r="R122" i="13"/>
  <c r="O122" i="13"/>
  <c r="P122" i="13" s="1"/>
  <c r="U121" i="13"/>
  <c r="T121" i="13"/>
  <c r="S121" i="13"/>
  <c r="R121" i="13"/>
  <c r="P121" i="13"/>
  <c r="O121" i="13"/>
  <c r="U120" i="13"/>
  <c r="T120" i="13"/>
  <c r="S120" i="13"/>
  <c r="R120" i="13"/>
  <c r="O120" i="13"/>
  <c r="P120" i="13" s="1"/>
  <c r="AI111" i="13"/>
  <c r="AG111" i="13"/>
  <c r="Q99" i="13"/>
  <c r="N99" i="13"/>
  <c r="M99" i="13"/>
  <c r="U98" i="13"/>
  <c r="T98" i="13"/>
  <c r="S98" i="13"/>
  <c r="R98" i="13"/>
  <c r="O98" i="13"/>
  <c r="P98" i="13" s="1"/>
  <c r="U97" i="13"/>
  <c r="T97" i="13"/>
  <c r="S97" i="13"/>
  <c r="R97" i="13"/>
  <c r="P97" i="13"/>
  <c r="O97" i="13"/>
  <c r="U96" i="13"/>
  <c r="T96" i="13"/>
  <c r="S96" i="13"/>
  <c r="R96" i="13"/>
  <c r="O96" i="13"/>
  <c r="P96" i="13" s="1"/>
  <c r="U95" i="13"/>
  <c r="T95" i="13"/>
  <c r="S95" i="13"/>
  <c r="R95" i="13"/>
  <c r="P95" i="13"/>
  <c r="O95" i="13"/>
  <c r="U94" i="13"/>
  <c r="T94" i="13"/>
  <c r="S94" i="13"/>
  <c r="R94" i="13"/>
  <c r="O94" i="13"/>
  <c r="P94" i="13" s="1"/>
  <c r="U93" i="13"/>
  <c r="T93" i="13"/>
  <c r="S93" i="13"/>
  <c r="R93" i="13"/>
  <c r="P93" i="13"/>
  <c r="O93" i="13"/>
  <c r="U92" i="13"/>
  <c r="T92" i="13"/>
  <c r="S92" i="13"/>
  <c r="R92" i="13"/>
  <c r="O92" i="13"/>
  <c r="P92" i="13" s="1"/>
  <c r="U91" i="13"/>
  <c r="T91" i="13"/>
  <c r="S91" i="13"/>
  <c r="R91" i="13"/>
  <c r="P91" i="13"/>
  <c r="O91" i="13"/>
  <c r="U90" i="13"/>
  <c r="T90" i="13"/>
  <c r="S90" i="13"/>
  <c r="R90" i="13"/>
  <c r="O90" i="13"/>
  <c r="P90" i="13" s="1"/>
  <c r="U89" i="13"/>
  <c r="T89" i="13"/>
  <c r="S89" i="13"/>
  <c r="R89" i="13"/>
  <c r="P89" i="13"/>
  <c r="O89" i="13"/>
  <c r="U88" i="13"/>
  <c r="T88" i="13"/>
  <c r="S88" i="13"/>
  <c r="R88" i="13"/>
  <c r="O88" i="13"/>
  <c r="P88" i="13" s="1"/>
  <c r="AI79" i="13"/>
  <c r="AG79" i="13"/>
  <c r="Q67" i="13"/>
  <c r="N67" i="13"/>
  <c r="M67" i="13"/>
  <c r="U66" i="13"/>
  <c r="T66" i="13"/>
  <c r="S66" i="13"/>
  <c r="R66" i="13"/>
  <c r="O66" i="13"/>
  <c r="P66" i="13" s="1"/>
  <c r="U65" i="13"/>
  <c r="T65" i="13"/>
  <c r="S65" i="13"/>
  <c r="R65" i="13"/>
  <c r="P65" i="13"/>
  <c r="O65" i="13"/>
  <c r="U64" i="13"/>
  <c r="T64" i="13"/>
  <c r="S64" i="13"/>
  <c r="R64" i="13"/>
  <c r="O64" i="13"/>
  <c r="P64" i="13" s="1"/>
  <c r="U63" i="13"/>
  <c r="T63" i="13"/>
  <c r="S63" i="13"/>
  <c r="R63" i="13"/>
  <c r="P63" i="13"/>
  <c r="O63" i="13"/>
  <c r="U62" i="13"/>
  <c r="T62" i="13"/>
  <c r="S62" i="13"/>
  <c r="R62" i="13"/>
  <c r="O62" i="13"/>
  <c r="P62" i="13" s="1"/>
  <c r="U61" i="13"/>
  <c r="T61" i="13"/>
  <c r="S61" i="13"/>
  <c r="R61" i="13"/>
  <c r="P61" i="13"/>
  <c r="O61" i="13"/>
  <c r="U60" i="13"/>
  <c r="T60" i="13"/>
  <c r="S60" i="13"/>
  <c r="R60" i="13"/>
  <c r="O60" i="13"/>
  <c r="P60" i="13" s="1"/>
  <c r="U59" i="13"/>
  <c r="T59" i="13"/>
  <c r="S59" i="13"/>
  <c r="R59" i="13"/>
  <c r="P59" i="13"/>
  <c r="O59" i="13"/>
  <c r="U58" i="13"/>
  <c r="T58" i="13"/>
  <c r="S58" i="13"/>
  <c r="R58" i="13"/>
  <c r="O58" i="13"/>
  <c r="P58" i="13" s="1"/>
  <c r="U57" i="13"/>
  <c r="T57" i="13"/>
  <c r="S57" i="13"/>
  <c r="R57" i="13"/>
  <c r="P57" i="13"/>
  <c r="O57" i="13"/>
  <c r="U56" i="13"/>
  <c r="T56" i="13"/>
  <c r="S56" i="13"/>
  <c r="R56" i="13"/>
  <c r="O56" i="13"/>
  <c r="P56" i="13" s="1"/>
  <c r="AI47" i="13"/>
  <c r="AG47" i="13"/>
  <c r="O16" i="13"/>
  <c r="T16" i="13"/>
  <c r="O17" i="13"/>
  <c r="T17" i="13"/>
  <c r="O18" i="13"/>
  <c r="T18" i="13"/>
  <c r="O19" i="13"/>
  <c r="T19" i="13"/>
  <c r="O20" i="13"/>
  <c r="R20" i="13"/>
  <c r="S20" i="13"/>
  <c r="T20" i="13"/>
  <c r="U20" i="13"/>
  <c r="O21" i="13"/>
  <c r="T21" i="13"/>
  <c r="O22" i="13"/>
  <c r="T22" i="13"/>
  <c r="O23" i="13"/>
  <c r="T23" i="13"/>
  <c r="O24" i="13"/>
  <c r="P24" i="13" s="1"/>
  <c r="R24" i="13"/>
  <c r="S24" i="13"/>
  <c r="T24" i="13"/>
  <c r="U24" i="13"/>
  <c r="O25" i="13"/>
  <c r="P25" i="13" s="1"/>
  <c r="R25" i="13"/>
  <c r="S25" i="13"/>
  <c r="T25" i="13"/>
  <c r="U25" i="13"/>
  <c r="O26" i="13"/>
  <c r="P26" i="13" s="1"/>
  <c r="R26" i="13"/>
  <c r="S26" i="13"/>
  <c r="T26" i="13"/>
  <c r="U26" i="13"/>
  <c r="O27" i="13"/>
  <c r="P27" i="13" s="1"/>
  <c r="R27" i="13"/>
  <c r="S27" i="13"/>
  <c r="T27" i="13"/>
  <c r="U27" i="13"/>
  <c r="O28" i="13"/>
  <c r="P28" i="13" s="1"/>
  <c r="R28" i="13"/>
  <c r="S28" i="13"/>
  <c r="T28" i="13"/>
  <c r="U28" i="13"/>
  <c r="O29" i="13"/>
  <c r="P29" i="13" s="1"/>
  <c r="R29" i="13"/>
  <c r="S29" i="13"/>
  <c r="T29" i="13"/>
  <c r="U29" i="13"/>
  <c r="O30" i="13"/>
  <c r="P30" i="13" s="1"/>
  <c r="R30" i="13"/>
  <c r="S30" i="13"/>
  <c r="T30" i="13"/>
  <c r="U30" i="13"/>
  <c r="O31" i="13"/>
  <c r="P31" i="13" s="1"/>
  <c r="R31" i="13"/>
  <c r="S31" i="13"/>
  <c r="T31" i="13"/>
  <c r="U31" i="13"/>
  <c r="O32" i="13"/>
  <c r="P32" i="13" s="1"/>
  <c r="R32" i="13"/>
  <c r="S32" i="13"/>
  <c r="T32" i="13"/>
  <c r="U32" i="13"/>
  <c r="O33" i="13"/>
  <c r="P33" i="13" s="1"/>
  <c r="R33" i="13"/>
  <c r="S33" i="13"/>
  <c r="T33" i="13"/>
  <c r="U33" i="13"/>
  <c r="O34" i="13"/>
  <c r="P34" i="13" s="1"/>
  <c r="R34" i="13"/>
  <c r="S34" i="13"/>
  <c r="T34" i="13"/>
  <c r="U34" i="13"/>
  <c r="AK15" i="13"/>
  <c r="AJ15" i="13"/>
  <c r="AI15" i="13"/>
  <c r="AG15" i="13"/>
  <c r="O15" i="13"/>
  <c r="AH15" i="13" s="1"/>
  <c r="N35" i="13"/>
  <c r="Q35" i="13"/>
  <c r="P18" i="13" l="1"/>
  <c r="AH18" i="13"/>
  <c r="P22" i="13"/>
  <c r="AH22" i="13"/>
  <c r="P21" i="13"/>
  <c r="AH21" i="13"/>
  <c r="P17" i="13"/>
  <c r="AH17" i="13"/>
  <c r="P16" i="13"/>
  <c r="AH16" i="13"/>
  <c r="P20" i="13"/>
  <c r="AH20" i="13"/>
  <c r="P23" i="13"/>
  <c r="AH23" i="13"/>
  <c r="P19" i="13"/>
  <c r="AH19" i="13"/>
  <c r="AE34" i="13"/>
  <c r="AF34" i="13" s="1"/>
  <c r="AD33" i="13"/>
  <c r="AF33" i="13" s="1"/>
  <c r="AE32" i="13"/>
  <c r="AF32" i="13" s="1"/>
  <c r="AD31" i="13"/>
  <c r="AF31" i="13" s="1"/>
  <c r="AE30" i="13"/>
  <c r="AF30" i="13" s="1"/>
  <c r="AD29" i="13"/>
  <c r="AF29" i="13" s="1"/>
  <c r="AF27" i="13"/>
  <c r="AE18" i="13"/>
  <c r="AF18" i="13" s="1"/>
  <c r="AD17" i="13"/>
  <c r="AF17" i="13" s="1"/>
  <c r="AE26" i="13"/>
  <c r="AF26" i="13" s="1"/>
  <c r="AD25" i="13"/>
  <c r="AF25" i="13" s="1"/>
  <c r="AE24" i="13"/>
  <c r="AF24" i="13" s="1"/>
  <c r="AF19" i="13"/>
  <c r="AF23" i="13"/>
  <c r="AF21" i="13"/>
  <c r="AF20" i="13"/>
  <c r="AF22" i="13"/>
  <c r="AF28" i="13"/>
  <c r="AF16" i="13"/>
  <c r="P15" i="13"/>
  <c r="R19" i="13" l="1"/>
  <c r="S19" i="13"/>
  <c r="S17" i="13"/>
  <c r="R17" i="13"/>
  <c r="R22" i="13"/>
  <c r="S22" i="13"/>
  <c r="R23" i="13"/>
  <c r="S23" i="13"/>
  <c r="S16" i="13"/>
  <c r="R16" i="13"/>
  <c r="S21" i="13"/>
  <c r="R21" i="13"/>
  <c r="R18" i="13"/>
  <c r="S18" i="13"/>
  <c r="O35" i="13"/>
  <c r="U16" i="13" l="1"/>
  <c r="U21" i="13"/>
  <c r="U17" i="13"/>
  <c r="U23" i="13"/>
  <c r="U18" i="13"/>
  <c r="U22" i="13"/>
  <c r="U19" i="13"/>
  <c r="G8" i="39"/>
  <c r="G61" i="39" s="1"/>
  <c r="G17" i="39"/>
  <c r="G23" i="39"/>
  <c r="G36" i="39"/>
  <c r="G41" i="39"/>
  <c r="G45" i="39"/>
  <c r="G54" i="39"/>
  <c r="G66" i="39"/>
  <c r="G67" i="39"/>
  <c r="G25" i="39" l="1"/>
  <c r="G56" i="39"/>
  <c r="G63" i="39" s="1"/>
  <c r="G65" i="39"/>
  <c r="H19" i="48" l="1"/>
  <c r="H214" i="48" s="1"/>
  <c r="S148" i="22" l="1"/>
  <c r="B148" i="22" s="1"/>
  <c r="S153" i="22"/>
  <c r="B153" i="22" s="1"/>
  <c r="S157" i="22"/>
  <c r="B157" i="22" s="1"/>
  <c r="S161" i="22"/>
  <c r="B161" i="22" s="1"/>
  <c r="AB15" i="13"/>
  <c r="S167" i="22"/>
  <c r="B167" i="22" s="1"/>
  <c r="AB35" i="13" l="1"/>
  <c r="T15" i="13"/>
  <c r="S165" i="22"/>
  <c r="B165" i="22" s="1"/>
  <c r="S160" i="22"/>
  <c r="B160" i="22" s="1"/>
  <c r="S156" i="22"/>
  <c r="B156" i="22" s="1"/>
  <c r="S152" i="22"/>
  <c r="B152" i="22" s="1"/>
  <c r="S164" i="22"/>
  <c r="B164" i="22" s="1"/>
  <c r="S145" i="22"/>
  <c r="B145" i="22" s="1"/>
  <c r="S162" i="22"/>
  <c r="B162" i="22" s="1"/>
  <c r="S158" i="22"/>
  <c r="B158" i="22" s="1"/>
  <c r="S154" i="22"/>
  <c r="B154" i="22" s="1"/>
  <c r="S150" i="22"/>
  <c r="B150" i="22" s="1"/>
  <c r="S155" i="22"/>
  <c r="B155" i="22" s="1"/>
  <c r="S159" i="22"/>
  <c r="B159" i="22" s="1"/>
  <c r="S163" i="22"/>
  <c r="B163" i="22" s="1"/>
  <c r="S147" i="22"/>
  <c r="B147" i="22" s="1"/>
  <c r="S149" i="22"/>
  <c r="B149" i="22" s="1"/>
  <c r="S146" i="22"/>
  <c r="B146" i="22" s="1"/>
  <c r="S144" i="22"/>
  <c r="B144" i="22" s="1"/>
  <c r="S151" i="22"/>
  <c r="B151" i="22" s="1"/>
  <c r="S143" i="22"/>
  <c r="B143" i="22" s="1"/>
  <c r="S166" i="22"/>
  <c r="B166" i="22" s="1"/>
  <c r="E324" i="13" l="1"/>
  <c r="F324" i="13"/>
  <c r="AD35" i="13"/>
  <c r="S254" i="22"/>
  <c r="B254" i="22" s="1"/>
  <c r="S253" i="22"/>
  <c r="B253" i="22" s="1"/>
  <c r="S252" i="22"/>
  <c r="B252" i="22" s="1"/>
  <c r="S251" i="22"/>
  <c r="B251" i="22" s="1"/>
  <c r="S250" i="22"/>
  <c r="B250" i="22" s="1"/>
  <c r="S249" i="22"/>
  <c r="B249" i="22" s="1"/>
  <c r="S248" i="22"/>
  <c r="B248" i="22" s="1"/>
  <c r="S247" i="22"/>
  <c r="B247" i="22" s="1"/>
  <c r="S246" i="22"/>
  <c r="B246" i="22" s="1"/>
  <c r="S245" i="22"/>
  <c r="B245" i="22" s="1"/>
  <c r="S244" i="22"/>
  <c r="B244" i="22" s="1"/>
  <c r="S243" i="22"/>
  <c r="B243" i="22" s="1"/>
  <c r="S242" i="22"/>
  <c r="B242" i="22" s="1"/>
  <c r="S241" i="22"/>
  <c r="B241" i="22" s="1"/>
  <c r="S240" i="22"/>
  <c r="B240" i="22" s="1"/>
  <c r="S239" i="22"/>
  <c r="B239" i="22" s="1"/>
  <c r="S238" i="22"/>
  <c r="B238" i="22" s="1"/>
  <c r="S237" i="22"/>
  <c r="B237" i="22" s="1"/>
  <c r="S236" i="22"/>
  <c r="B236" i="22" s="1"/>
  <c r="S235" i="22"/>
  <c r="B235" i="22" s="1"/>
  <c r="S234" i="22"/>
  <c r="B234" i="22" s="1"/>
  <c r="S233" i="22"/>
  <c r="B233" i="22" s="1"/>
  <c r="S232" i="22"/>
  <c r="B232" i="22" s="1"/>
  <c r="S231" i="22"/>
  <c r="B231" i="22" s="1"/>
  <c r="S230" i="22"/>
  <c r="B230" i="22" s="1"/>
  <c r="S196" i="22"/>
  <c r="B196" i="22" s="1"/>
  <c r="S195" i="22"/>
  <c r="B195" i="22" s="1"/>
  <c r="S194" i="22"/>
  <c r="B194" i="22" s="1"/>
  <c r="S193" i="22"/>
  <c r="B193" i="22" s="1"/>
  <c r="S192" i="22"/>
  <c r="B192" i="22" s="1"/>
  <c r="S191" i="22"/>
  <c r="B191" i="22" s="1"/>
  <c r="S190" i="22"/>
  <c r="B190" i="22" s="1"/>
  <c r="S189" i="22"/>
  <c r="B189" i="22" s="1"/>
  <c r="S188" i="22"/>
  <c r="B188" i="22" s="1"/>
  <c r="S187" i="22"/>
  <c r="B187" i="22" s="1"/>
  <c r="S186" i="22"/>
  <c r="B186" i="22" s="1"/>
  <c r="S185" i="22"/>
  <c r="B185" i="22" s="1"/>
  <c r="S184" i="22"/>
  <c r="B184" i="22" s="1"/>
  <c r="S183" i="22"/>
  <c r="B183" i="22" s="1"/>
  <c r="S182" i="22"/>
  <c r="B182" i="22" s="1"/>
  <c r="S181" i="22"/>
  <c r="B181" i="22" s="1"/>
  <c r="S180" i="22"/>
  <c r="B180" i="22" s="1"/>
  <c r="S179" i="22"/>
  <c r="B179" i="22" s="1"/>
  <c r="S178" i="22"/>
  <c r="B178" i="22" s="1"/>
  <c r="S177" i="22"/>
  <c r="B177" i="22" s="1"/>
  <c r="S176" i="22"/>
  <c r="B176" i="22" s="1"/>
  <c r="S175" i="22"/>
  <c r="B175" i="22" s="1"/>
  <c r="S174" i="22"/>
  <c r="B174" i="22" s="1"/>
  <c r="S173" i="22"/>
  <c r="B173" i="22" s="1"/>
  <c r="S172" i="22"/>
  <c r="J38" i="22"/>
  <c r="F38" i="22"/>
  <c r="G38" i="22"/>
  <c r="H38" i="22"/>
  <c r="I38" i="22"/>
  <c r="B172" i="22" l="1"/>
  <c r="H126" i="22" l="1"/>
  <c r="G98" i="49" l="1"/>
  <c r="G34" i="22"/>
  <c r="H34" i="22" s="1"/>
  <c r="I34" i="22" s="1"/>
  <c r="J34" i="22" s="1"/>
  <c r="K34" i="22" s="1"/>
  <c r="G33" i="22"/>
  <c r="G24" i="22"/>
  <c r="H24" i="22" s="1"/>
  <c r="G23" i="22"/>
  <c r="H23" i="22" s="1"/>
  <c r="I23" i="22" s="1"/>
  <c r="C28" i="22"/>
  <c r="C29" i="22"/>
  <c r="F29" i="22" s="1"/>
  <c r="C30" i="22"/>
  <c r="F30" i="22" s="1"/>
  <c r="C27" i="22"/>
  <c r="F27" i="22" s="1"/>
  <c r="D12" i="22"/>
  <c r="C138" i="22"/>
  <c r="I69" i="31"/>
  <c r="J69" i="31"/>
  <c r="I74" i="31"/>
  <c r="K74" i="31"/>
  <c r="L74" i="31" s="1"/>
  <c r="M74" i="31" s="1"/>
  <c r="N74" i="31" s="1"/>
  <c r="O74" i="31" s="1"/>
  <c r="I79" i="31"/>
  <c r="K79" i="31"/>
  <c r="L79" i="31" s="1"/>
  <c r="M79" i="31" s="1"/>
  <c r="N79" i="31" s="1"/>
  <c r="O79" i="31" s="1"/>
  <c r="I84" i="31"/>
  <c r="K84" i="31"/>
  <c r="L84" i="31" s="1"/>
  <c r="M84" i="31" s="1"/>
  <c r="N84" i="31" s="1"/>
  <c r="O84" i="31" s="1"/>
  <c r="I89" i="31"/>
  <c r="K89" i="31"/>
  <c r="L89" i="31" s="1"/>
  <c r="M89" i="31" s="1"/>
  <c r="N89" i="31" s="1"/>
  <c r="O89" i="31" s="1"/>
  <c r="I94" i="31"/>
  <c r="K94" i="31"/>
  <c r="L94" i="31" s="1"/>
  <c r="M94" i="31" s="1"/>
  <c r="N94" i="31" s="1"/>
  <c r="O94" i="31" s="1"/>
  <c r="I99" i="31"/>
  <c r="L99" i="31"/>
  <c r="M99" i="31" s="1"/>
  <c r="N99" i="31" s="1"/>
  <c r="O99" i="31" s="1"/>
  <c r="I104" i="31"/>
  <c r="K104" i="31"/>
  <c r="L104" i="31" s="1"/>
  <c r="M104" i="31" s="1"/>
  <c r="N104" i="31" s="1"/>
  <c r="O104" i="31" s="1"/>
  <c r="I109" i="31"/>
  <c r="K109" i="31"/>
  <c r="L109" i="31" s="1"/>
  <c r="M109" i="31" s="1"/>
  <c r="N109" i="31" s="1"/>
  <c r="O109" i="31" s="1"/>
  <c r="H31" i="28"/>
  <c r="H33" i="28" s="1"/>
  <c r="G41" i="28"/>
  <c r="G43" i="28" s="1"/>
  <c r="F41" i="28"/>
  <c r="F43" i="28" s="1"/>
  <c r="E79" i="22"/>
  <c r="H158" i="29"/>
  <c r="I156" i="29"/>
  <c r="W156" i="29" s="1"/>
  <c r="I155" i="29"/>
  <c r="W155" i="29" s="1"/>
  <c r="I154" i="29"/>
  <c r="I153" i="29"/>
  <c r="I152" i="29"/>
  <c r="W152" i="29" s="1"/>
  <c r="I151" i="29"/>
  <c r="W151" i="29" s="1"/>
  <c r="I150" i="29"/>
  <c r="W150" i="29" s="1"/>
  <c r="I149" i="29"/>
  <c r="W149" i="29" s="1"/>
  <c r="I148" i="29"/>
  <c r="W148" i="29" s="1"/>
  <c r="I147" i="29"/>
  <c r="W147" i="29" s="1"/>
  <c r="I146" i="29"/>
  <c r="W146" i="29" s="1"/>
  <c r="I145" i="29"/>
  <c r="W145" i="29" s="1"/>
  <c r="I144" i="29"/>
  <c r="W144" i="29" s="1"/>
  <c r="I143" i="29"/>
  <c r="W143" i="29" s="1"/>
  <c r="I142" i="29"/>
  <c r="W142" i="29" s="1"/>
  <c r="I141" i="29"/>
  <c r="W141" i="29" s="1"/>
  <c r="I140" i="29"/>
  <c r="W140" i="29" s="1"/>
  <c r="I139" i="29"/>
  <c r="W139" i="29" s="1"/>
  <c r="I138" i="29"/>
  <c r="W138" i="29" s="1"/>
  <c r="I137" i="29"/>
  <c r="W137" i="29" s="1"/>
  <c r="I136" i="29"/>
  <c r="W136" i="29" s="1"/>
  <c r="I135" i="29"/>
  <c r="W135" i="29" s="1"/>
  <c r="I134" i="29"/>
  <c r="W134" i="29" s="1"/>
  <c r="I133" i="29"/>
  <c r="W133" i="29" s="1"/>
  <c r="I132" i="29"/>
  <c r="W132" i="29" s="1"/>
  <c r="I131" i="29"/>
  <c r="W131" i="29" s="1"/>
  <c r="I130" i="29"/>
  <c r="W130" i="29" s="1"/>
  <c r="I129" i="29"/>
  <c r="W129" i="29" s="1"/>
  <c r="I128" i="29"/>
  <c r="W128" i="29" s="1"/>
  <c r="I127" i="29"/>
  <c r="W127" i="29" s="1"/>
  <c r="I126" i="29"/>
  <c r="W126" i="29" s="1"/>
  <c r="I125" i="29"/>
  <c r="W125" i="29" s="1"/>
  <c r="I124" i="29"/>
  <c r="W124" i="29" s="1"/>
  <c r="I123" i="29"/>
  <c r="W123" i="29" s="1"/>
  <c r="I122" i="29"/>
  <c r="W122" i="29" s="1"/>
  <c r="I121" i="29"/>
  <c r="W121" i="29" s="1"/>
  <c r="I120" i="29"/>
  <c r="W120" i="29" s="1"/>
  <c r="I119" i="29"/>
  <c r="W119" i="29" s="1"/>
  <c r="I118" i="29"/>
  <c r="W118" i="29" s="1"/>
  <c r="I117" i="29"/>
  <c r="W117" i="29" s="1"/>
  <c r="W59" i="29"/>
  <c r="W60" i="29"/>
  <c r="W61" i="29"/>
  <c r="W62" i="29"/>
  <c r="W63" i="29"/>
  <c r="W64" i="29"/>
  <c r="I65" i="29"/>
  <c r="W65" i="29" s="1"/>
  <c r="I66" i="29"/>
  <c r="W66" i="29" s="1"/>
  <c r="I67" i="29"/>
  <c r="W67" i="29" s="1"/>
  <c r="I68" i="29"/>
  <c r="W68" i="29" s="1"/>
  <c r="I69" i="29"/>
  <c r="W69" i="29" s="1"/>
  <c r="I71" i="29"/>
  <c r="W71" i="29" s="1"/>
  <c r="I73" i="29"/>
  <c r="W73" i="29" s="1"/>
  <c r="J118" i="29"/>
  <c r="X118" i="29" s="1"/>
  <c r="J122" i="29"/>
  <c r="X122" i="29" s="1"/>
  <c r="J126" i="29"/>
  <c r="X126" i="29" s="1"/>
  <c r="J142" i="29"/>
  <c r="J146" i="29"/>
  <c r="X146" i="29" s="1"/>
  <c r="J150" i="29"/>
  <c r="X150" i="29" s="1"/>
  <c r="J130" i="29"/>
  <c r="X130" i="29" s="1"/>
  <c r="J134" i="29"/>
  <c r="X134" i="29" s="1"/>
  <c r="J138" i="29"/>
  <c r="X138" i="29" s="1"/>
  <c r="I110" i="53"/>
  <c r="N31" i="53"/>
  <c r="E16" i="43"/>
  <c r="F16" i="43"/>
  <c r="E17" i="43"/>
  <c r="F17" i="43"/>
  <c r="E18" i="43"/>
  <c r="F18" i="43"/>
  <c r="E19" i="43"/>
  <c r="F19" i="43"/>
  <c r="E20" i="43"/>
  <c r="F20" i="43"/>
  <c r="E21" i="43"/>
  <c r="F21" i="43"/>
  <c r="E22" i="43"/>
  <c r="F22" i="43"/>
  <c r="E23" i="43"/>
  <c r="F23" i="43"/>
  <c r="E24" i="43"/>
  <c r="F24" i="43"/>
  <c r="E25" i="43"/>
  <c r="F25" i="43"/>
  <c r="E26" i="43"/>
  <c r="F26" i="43"/>
  <c r="E27" i="43"/>
  <c r="F27" i="43"/>
  <c r="E28" i="43"/>
  <c r="F28" i="43"/>
  <c r="E29" i="43"/>
  <c r="F29" i="43"/>
  <c r="E30" i="43"/>
  <c r="F30" i="43"/>
  <c r="E31" i="43"/>
  <c r="F31" i="43"/>
  <c r="E32" i="43"/>
  <c r="F32" i="43"/>
  <c r="E33" i="43"/>
  <c r="F33" i="43"/>
  <c r="E34" i="43"/>
  <c r="F34" i="43"/>
  <c r="E35" i="43"/>
  <c r="F35" i="43"/>
  <c r="E36" i="43"/>
  <c r="F36" i="43"/>
  <c r="E37" i="43"/>
  <c r="F37" i="43"/>
  <c r="E38" i="43"/>
  <c r="F38" i="43"/>
  <c r="E39" i="43"/>
  <c r="F39" i="43"/>
  <c r="E40" i="43"/>
  <c r="F40" i="43"/>
  <c r="E41" i="43"/>
  <c r="F41" i="43"/>
  <c r="E42" i="43"/>
  <c r="F42" i="43"/>
  <c r="E43" i="43"/>
  <c r="F43" i="43"/>
  <c r="E44" i="43"/>
  <c r="F44" i="43"/>
  <c r="E45" i="43"/>
  <c r="F45" i="43"/>
  <c r="E46" i="43"/>
  <c r="F46" i="43"/>
  <c r="E47" i="43"/>
  <c r="F47" i="43"/>
  <c r="E48" i="43"/>
  <c r="F48" i="43"/>
  <c r="E49" i="43"/>
  <c r="F49" i="43"/>
  <c r="E50" i="43"/>
  <c r="F50" i="43"/>
  <c r="E51" i="43"/>
  <c r="F51" i="43"/>
  <c r="E52" i="43"/>
  <c r="F52" i="43"/>
  <c r="E53" i="43"/>
  <c r="F53" i="43"/>
  <c r="E54" i="43"/>
  <c r="F54" i="43"/>
  <c r="E55" i="43"/>
  <c r="F55" i="43"/>
  <c r="E56" i="43"/>
  <c r="F56" i="43"/>
  <c r="E57" i="43"/>
  <c r="F57" i="43"/>
  <c r="E58" i="43"/>
  <c r="F58" i="43"/>
  <c r="E59" i="43"/>
  <c r="F59" i="43"/>
  <c r="E60" i="43"/>
  <c r="F60" i="43"/>
  <c r="E61" i="43"/>
  <c r="F61" i="43"/>
  <c r="E62" i="43"/>
  <c r="F62" i="43"/>
  <c r="E63" i="43"/>
  <c r="F63" i="43"/>
  <c r="E64" i="43"/>
  <c r="F64" i="43"/>
  <c r="E65" i="43"/>
  <c r="F65" i="43"/>
  <c r="E66" i="43"/>
  <c r="F66" i="43"/>
  <c r="E67" i="43"/>
  <c r="F67" i="43"/>
  <c r="E68" i="43"/>
  <c r="F68" i="43"/>
  <c r="E69" i="43"/>
  <c r="F69" i="43"/>
  <c r="E70" i="43"/>
  <c r="F70" i="43"/>
  <c r="E71" i="43"/>
  <c r="F71" i="43"/>
  <c r="E72" i="43"/>
  <c r="F72" i="43"/>
  <c r="E73" i="43"/>
  <c r="F73" i="43"/>
  <c r="E74" i="43"/>
  <c r="F74" i="43"/>
  <c r="E75" i="43"/>
  <c r="F75" i="43"/>
  <c r="E76" i="43"/>
  <c r="F76" i="43"/>
  <c r="E77" i="43"/>
  <c r="F77" i="43"/>
  <c r="E78" i="43"/>
  <c r="F78" i="43"/>
  <c r="E79" i="43"/>
  <c r="F79" i="43"/>
  <c r="E80" i="43"/>
  <c r="F80" i="43"/>
  <c r="E81" i="43"/>
  <c r="F81" i="43"/>
  <c r="E82" i="43"/>
  <c r="F82" i="43"/>
  <c r="E83" i="43"/>
  <c r="F83" i="43"/>
  <c r="E84" i="43"/>
  <c r="F84" i="43"/>
  <c r="E85" i="43"/>
  <c r="F85" i="43"/>
  <c r="E86" i="43"/>
  <c r="F86" i="43"/>
  <c r="E87" i="43"/>
  <c r="F87" i="43"/>
  <c r="E88" i="43"/>
  <c r="F88" i="43"/>
  <c r="E89" i="43"/>
  <c r="F89" i="43"/>
  <c r="E90" i="43"/>
  <c r="F90" i="43"/>
  <c r="E91" i="43"/>
  <c r="F91" i="43"/>
  <c r="E92" i="43"/>
  <c r="F92" i="43"/>
  <c r="E93" i="43"/>
  <c r="F93" i="43"/>
  <c r="E94" i="43"/>
  <c r="F94" i="43"/>
  <c r="E95" i="43"/>
  <c r="F95" i="43"/>
  <c r="E96" i="43"/>
  <c r="F96" i="43"/>
  <c r="E97" i="43"/>
  <c r="F97" i="43"/>
  <c r="E98" i="43"/>
  <c r="F98" i="43"/>
  <c r="E99" i="43"/>
  <c r="F99" i="43"/>
  <c r="E100" i="43"/>
  <c r="F100" i="43"/>
  <c r="E101" i="43"/>
  <c r="F101" i="43"/>
  <c r="E102" i="43"/>
  <c r="F102" i="43"/>
  <c r="E103" i="43"/>
  <c r="F103" i="43"/>
  <c r="E104" i="43"/>
  <c r="F104" i="43"/>
  <c r="E105" i="43"/>
  <c r="F105" i="43"/>
  <c r="E106" i="43"/>
  <c r="F106" i="43"/>
  <c r="E107" i="43"/>
  <c r="F107" i="43"/>
  <c r="E108" i="43"/>
  <c r="F108" i="43"/>
  <c r="E109" i="43"/>
  <c r="F109" i="43"/>
  <c r="E110" i="43"/>
  <c r="F110" i="43"/>
  <c r="E111" i="43"/>
  <c r="F111" i="43"/>
  <c r="E112" i="43"/>
  <c r="F112" i="43"/>
  <c r="E113" i="43"/>
  <c r="F113" i="43"/>
  <c r="E114" i="43"/>
  <c r="F114" i="43"/>
  <c r="E115" i="43"/>
  <c r="F115" i="43"/>
  <c r="E116" i="43"/>
  <c r="F116" i="43"/>
  <c r="E117" i="43"/>
  <c r="F117" i="43"/>
  <c r="E118" i="43"/>
  <c r="F118" i="43"/>
  <c r="E119" i="43"/>
  <c r="F119" i="43"/>
  <c r="E120" i="43"/>
  <c r="F120" i="43"/>
  <c r="E121" i="43"/>
  <c r="F121" i="43"/>
  <c r="E122" i="43"/>
  <c r="F122" i="43"/>
  <c r="E123" i="43"/>
  <c r="F123" i="43"/>
  <c r="E124" i="43"/>
  <c r="F124" i="43"/>
  <c r="E125" i="43"/>
  <c r="F125" i="43"/>
  <c r="E126" i="43"/>
  <c r="F126" i="43"/>
  <c r="E127" i="43"/>
  <c r="F127" i="43"/>
  <c r="E128" i="43"/>
  <c r="F128" i="43"/>
  <c r="E129" i="43"/>
  <c r="F129" i="43"/>
  <c r="E130" i="43"/>
  <c r="F130" i="43"/>
  <c r="E131" i="43"/>
  <c r="F131" i="43"/>
  <c r="E132" i="43"/>
  <c r="F132" i="43"/>
  <c r="E133" i="43"/>
  <c r="F133" i="43"/>
  <c r="E134" i="43"/>
  <c r="F134" i="43"/>
  <c r="E135" i="43"/>
  <c r="F135" i="43"/>
  <c r="E136" i="43"/>
  <c r="F136" i="43"/>
  <c r="E137" i="43"/>
  <c r="F137" i="43"/>
  <c r="E138" i="43"/>
  <c r="F138" i="43"/>
  <c r="E139" i="43"/>
  <c r="F139" i="43"/>
  <c r="F15" i="43"/>
  <c r="E15" i="43"/>
  <c r="AG139" i="53"/>
  <c r="AH139" i="53" s="1"/>
  <c r="AI139" i="53" s="1"/>
  <c r="AJ139" i="53" s="1"/>
  <c r="U139" i="53"/>
  <c r="V139" i="53" s="1"/>
  <c r="W139" i="53" s="1"/>
  <c r="X139" i="53" s="1"/>
  <c r="AG138" i="53"/>
  <c r="AH138" i="53" s="1"/>
  <c r="AI138" i="53" s="1"/>
  <c r="AJ138" i="53" s="1"/>
  <c r="U138" i="53"/>
  <c r="V138" i="53" s="1"/>
  <c r="W138" i="53" s="1"/>
  <c r="X138" i="53" s="1"/>
  <c r="AG137" i="53"/>
  <c r="AH137" i="53" s="1"/>
  <c r="AI137" i="53" s="1"/>
  <c r="AJ137" i="53" s="1"/>
  <c r="U137" i="53"/>
  <c r="V137" i="53" s="1"/>
  <c r="W137" i="53" s="1"/>
  <c r="X137" i="53" s="1"/>
  <c r="AG136" i="53"/>
  <c r="AH136" i="53" s="1"/>
  <c r="AI136" i="53" s="1"/>
  <c r="AJ136" i="53" s="1"/>
  <c r="U136" i="53"/>
  <c r="V136" i="53" s="1"/>
  <c r="W136" i="53" s="1"/>
  <c r="X136" i="53" s="1"/>
  <c r="AG135" i="53"/>
  <c r="AH135" i="53" s="1"/>
  <c r="AI135" i="53" s="1"/>
  <c r="AJ135" i="53" s="1"/>
  <c r="U135" i="53"/>
  <c r="V135" i="53" s="1"/>
  <c r="W135" i="53" s="1"/>
  <c r="X135" i="53" s="1"/>
  <c r="AG134" i="53"/>
  <c r="AH134" i="53" s="1"/>
  <c r="AI134" i="53" s="1"/>
  <c r="AJ134" i="53" s="1"/>
  <c r="U134" i="53"/>
  <c r="V134" i="53" s="1"/>
  <c r="W134" i="53" s="1"/>
  <c r="X134" i="53" s="1"/>
  <c r="AG133" i="53"/>
  <c r="AH133" i="53" s="1"/>
  <c r="AI133" i="53" s="1"/>
  <c r="AJ133" i="53" s="1"/>
  <c r="U133" i="53"/>
  <c r="V133" i="53" s="1"/>
  <c r="W133" i="53" s="1"/>
  <c r="X133" i="53" s="1"/>
  <c r="AG132" i="53"/>
  <c r="AH132" i="53" s="1"/>
  <c r="AI132" i="53" s="1"/>
  <c r="AJ132" i="53" s="1"/>
  <c r="U132" i="53"/>
  <c r="V132" i="53" s="1"/>
  <c r="W132" i="53" s="1"/>
  <c r="X132" i="53" s="1"/>
  <c r="AG131" i="53"/>
  <c r="AH131" i="53" s="1"/>
  <c r="AI131" i="53" s="1"/>
  <c r="AJ131" i="53" s="1"/>
  <c r="U131" i="53"/>
  <c r="V131" i="53" s="1"/>
  <c r="W131" i="53" s="1"/>
  <c r="X131" i="53" s="1"/>
  <c r="AG130" i="53"/>
  <c r="AH130" i="53" s="1"/>
  <c r="AI130" i="53" s="1"/>
  <c r="AJ130" i="53" s="1"/>
  <c r="U130" i="53"/>
  <c r="V130" i="53" s="1"/>
  <c r="W130" i="53" s="1"/>
  <c r="X130" i="53" s="1"/>
  <c r="AG129" i="53"/>
  <c r="AH129" i="53" s="1"/>
  <c r="AI129" i="53" s="1"/>
  <c r="AJ129" i="53" s="1"/>
  <c r="U129" i="53"/>
  <c r="V129" i="53" s="1"/>
  <c r="W129" i="53" s="1"/>
  <c r="X129" i="53" s="1"/>
  <c r="AG128" i="53"/>
  <c r="AH128" i="53" s="1"/>
  <c r="AI128" i="53" s="1"/>
  <c r="AJ128" i="53" s="1"/>
  <c r="U128" i="53"/>
  <c r="V128" i="53" s="1"/>
  <c r="W128" i="53" s="1"/>
  <c r="X128" i="53" s="1"/>
  <c r="AG127" i="53"/>
  <c r="AH127" i="53" s="1"/>
  <c r="AI127" i="53" s="1"/>
  <c r="AJ127" i="53" s="1"/>
  <c r="U127" i="53"/>
  <c r="V127" i="53" s="1"/>
  <c r="W127" i="53" s="1"/>
  <c r="X127" i="53" s="1"/>
  <c r="AG126" i="53"/>
  <c r="AH126" i="53" s="1"/>
  <c r="AI126" i="53" s="1"/>
  <c r="AJ126" i="53" s="1"/>
  <c r="U126" i="53"/>
  <c r="V126" i="53" s="1"/>
  <c r="W126" i="53" s="1"/>
  <c r="X126" i="53" s="1"/>
  <c r="AG125" i="53"/>
  <c r="AH125" i="53" s="1"/>
  <c r="AI125" i="53" s="1"/>
  <c r="AJ125" i="53" s="1"/>
  <c r="U125" i="53"/>
  <c r="V125" i="53" s="1"/>
  <c r="W125" i="53" s="1"/>
  <c r="X125" i="53" s="1"/>
  <c r="AG124" i="53"/>
  <c r="AH124" i="53" s="1"/>
  <c r="AI124" i="53" s="1"/>
  <c r="AJ124" i="53" s="1"/>
  <c r="U124" i="53"/>
  <c r="V124" i="53" s="1"/>
  <c r="W124" i="53" s="1"/>
  <c r="X124" i="53" s="1"/>
  <c r="AG123" i="53"/>
  <c r="AH123" i="53" s="1"/>
  <c r="AI123" i="53" s="1"/>
  <c r="AJ123" i="53" s="1"/>
  <c r="U123" i="53"/>
  <c r="V123" i="53" s="1"/>
  <c r="W123" i="53" s="1"/>
  <c r="X123" i="53" s="1"/>
  <c r="AG122" i="53"/>
  <c r="AH122" i="53" s="1"/>
  <c r="AI122" i="53" s="1"/>
  <c r="AJ122" i="53" s="1"/>
  <c r="U122" i="53"/>
  <c r="V122" i="53" s="1"/>
  <c r="W122" i="53" s="1"/>
  <c r="X122" i="53" s="1"/>
  <c r="AG121" i="53"/>
  <c r="AH121" i="53" s="1"/>
  <c r="AI121" i="53" s="1"/>
  <c r="AJ121" i="53" s="1"/>
  <c r="U121" i="53"/>
  <c r="V121" i="53" s="1"/>
  <c r="W121" i="53" s="1"/>
  <c r="X121" i="53" s="1"/>
  <c r="AG120" i="53"/>
  <c r="AH120" i="53" s="1"/>
  <c r="AI120" i="53" s="1"/>
  <c r="AJ120" i="53" s="1"/>
  <c r="U120" i="53"/>
  <c r="V120" i="53" s="1"/>
  <c r="W120" i="53" s="1"/>
  <c r="X120" i="53" s="1"/>
  <c r="AG119" i="53"/>
  <c r="AH119" i="53" s="1"/>
  <c r="AI119" i="53" s="1"/>
  <c r="AJ119" i="53" s="1"/>
  <c r="U119" i="53"/>
  <c r="V119" i="53" s="1"/>
  <c r="W119" i="53" s="1"/>
  <c r="X119" i="53" s="1"/>
  <c r="AG118" i="53"/>
  <c r="AH118" i="53" s="1"/>
  <c r="AI118" i="53" s="1"/>
  <c r="AJ118" i="53" s="1"/>
  <c r="U118" i="53"/>
  <c r="V118" i="53" s="1"/>
  <c r="W118" i="53" s="1"/>
  <c r="X118" i="53" s="1"/>
  <c r="AG117" i="53"/>
  <c r="AH117" i="53" s="1"/>
  <c r="AI117" i="53" s="1"/>
  <c r="AJ117" i="53" s="1"/>
  <c r="U117" i="53"/>
  <c r="V117" i="53" s="1"/>
  <c r="W117" i="53" s="1"/>
  <c r="X117" i="53" s="1"/>
  <c r="AG116" i="53"/>
  <c r="AH116" i="53" s="1"/>
  <c r="AI116" i="53" s="1"/>
  <c r="AJ116" i="53" s="1"/>
  <c r="U116" i="53"/>
  <c r="V116" i="53" s="1"/>
  <c r="W116" i="53" s="1"/>
  <c r="X116" i="53" s="1"/>
  <c r="AG115" i="53"/>
  <c r="AH115" i="53" s="1"/>
  <c r="AI115" i="53" s="1"/>
  <c r="AJ115" i="53" s="1"/>
  <c r="U115" i="53"/>
  <c r="V115" i="53" s="1"/>
  <c r="W115" i="53" s="1"/>
  <c r="X115" i="53" s="1"/>
  <c r="AG114" i="53"/>
  <c r="AH114" i="53" s="1"/>
  <c r="AI114" i="53" s="1"/>
  <c r="AJ114" i="53" s="1"/>
  <c r="U114" i="53"/>
  <c r="V114" i="53" s="1"/>
  <c r="W114" i="53" s="1"/>
  <c r="X114" i="53" s="1"/>
  <c r="AG113" i="53"/>
  <c r="AH113" i="53" s="1"/>
  <c r="AI113" i="53" s="1"/>
  <c r="AJ113" i="53" s="1"/>
  <c r="U113" i="53"/>
  <c r="V113" i="53" s="1"/>
  <c r="W113" i="53" s="1"/>
  <c r="X113" i="53" s="1"/>
  <c r="AG112" i="53"/>
  <c r="AH112" i="53" s="1"/>
  <c r="AI112" i="53" s="1"/>
  <c r="AJ112" i="53" s="1"/>
  <c r="U112" i="53"/>
  <c r="V112" i="53" s="1"/>
  <c r="W112" i="53" s="1"/>
  <c r="X112" i="53" s="1"/>
  <c r="AG111" i="53"/>
  <c r="AH111" i="53" s="1"/>
  <c r="AI111" i="53" s="1"/>
  <c r="AJ111" i="53" s="1"/>
  <c r="U111" i="53"/>
  <c r="V111" i="53" s="1"/>
  <c r="W111" i="53" s="1"/>
  <c r="X111" i="53" s="1"/>
  <c r="AG110" i="53"/>
  <c r="AH110" i="53" s="1"/>
  <c r="AI110" i="53" s="1"/>
  <c r="AJ110" i="53" s="1"/>
  <c r="U110" i="53"/>
  <c r="V110" i="53" s="1"/>
  <c r="W110" i="53" s="1"/>
  <c r="X110" i="53" s="1"/>
  <c r="AG109" i="53"/>
  <c r="AH109" i="53" s="1"/>
  <c r="AI109" i="53" s="1"/>
  <c r="AJ109" i="53" s="1"/>
  <c r="U109" i="53"/>
  <c r="V109" i="53" s="1"/>
  <c r="W109" i="53" s="1"/>
  <c r="X109" i="53" s="1"/>
  <c r="AG108" i="53"/>
  <c r="AH108" i="53" s="1"/>
  <c r="AI108" i="53" s="1"/>
  <c r="AJ108" i="53" s="1"/>
  <c r="U108" i="53"/>
  <c r="V108" i="53" s="1"/>
  <c r="W108" i="53" s="1"/>
  <c r="X108" i="53" s="1"/>
  <c r="AG107" i="53"/>
  <c r="AH107" i="53" s="1"/>
  <c r="AI107" i="53" s="1"/>
  <c r="AJ107" i="53" s="1"/>
  <c r="U107" i="53"/>
  <c r="V107" i="53" s="1"/>
  <c r="W107" i="53" s="1"/>
  <c r="X107" i="53" s="1"/>
  <c r="AG106" i="53"/>
  <c r="AH106" i="53" s="1"/>
  <c r="AI106" i="53" s="1"/>
  <c r="AJ106" i="53" s="1"/>
  <c r="U106" i="53"/>
  <c r="V106" i="53" s="1"/>
  <c r="W106" i="53" s="1"/>
  <c r="X106" i="53" s="1"/>
  <c r="AG105" i="53"/>
  <c r="AH105" i="53" s="1"/>
  <c r="AI105" i="53" s="1"/>
  <c r="AJ105" i="53" s="1"/>
  <c r="U105" i="53"/>
  <c r="V105" i="53" s="1"/>
  <c r="W105" i="53" s="1"/>
  <c r="X105" i="53" s="1"/>
  <c r="AG104" i="53"/>
  <c r="AH104" i="53" s="1"/>
  <c r="AI104" i="53" s="1"/>
  <c r="AJ104" i="53" s="1"/>
  <c r="U104" i="53"/>
  <c r="V104" i="53" s="1"/>
  <c r="W104" i="53" s="1"/>
  <c r="X104" i="53" s="1"/>
  <c r="AG103" i="53"/>
  <c r="AH103" i="53" s="1"/>
  <c r="AI103" i="53" s="1"/>
  <c r="AJ103" i="53" s="1"/>
  <c r="U103" i="53"/>
  <c r="V103" i="53" s="1"/>
  <c r="W103" i="53" s="1"/>
  <c r="X103" i="53" s="1"/>
  <c r="AG102" i="53"/>
  <c r="AH102" i="53" s="1"/>
  <c r="AI102" i="53" s="1"/>
  <c r="AJ102" i="53" s="1"/>
  <c r="U102" i="53"/>
  <c r="V102" i="53" s="1"/>
  <c r="W102" i="53" s="1"/>
  <c r="X102" i="53" s="1"/>
  <c r="AG101" i="53"/>
  <c r="AH101" i="53" s="1"/>
  <c r="AI101" i="53" s="1"/>
  <c r="AJ101" i="53" s="1"/>
  <c r="U101" i="53"/>
  <c r="V101" i="53" s="1"/>
  <c r="W101" i="53" s="1"/>
  <c r="X101" i="53" s="1"/>
  <c r="AG100" i="53"/>
  <c r="AH100" i="53" s="1"/>
  <c r="AI100" i="53" s="1"/>
  <c r="AJ100" i="53" s="1"/>
  <c r="U100" i="53"/>
  <c r="V100" i="53" s="1"/>
  <c r="W100" i="53" s="1"/>
  <c r="X100" i="53" s="1"/>
  <c r="AG99" i="53"/>
  <c r="AH99" i="53" s="1"/>
  <c r="AI99" i="53" s="1"/>
  <c r="AJ99" i="53" s="1"/>
  <c r="U99" i="53"/>
  <c r="V99" i="53" s="1"/>
  <c r="W99" i="53" s="1"/>
  <c r="X99" i="53" s="1"/>
  <c r="AG98" i="53"/>
  <c r="AH98" i="53" s="1"/>
  <c r="AI98" i="53" s="1"/>
  <c r="AJ98" i="53" s="1"/>
  <c r="U98" i="53"/>
  <c r="V98" i="53" s="1"/>
  <c r="W98" i="53" s="1"/>
  <c r="X98" i="53" s="1"/>
  <c r="AG97" i="53"/>
  <c r="AH97" i="53" s="1"/>
  <c r="AI97" i="53" s="1"/>
  <c r="AJ97" i="53" s="1"/>
  <c r="U97" i="53"/>
  <c r="V97" i="53" s="1"/>
  <c r="W97" i="53" s="1"/>
  <c r="X97" i="53" s="1"/>
  <c r="AG96" i="53"/>
  <c r="AH96" i="53" s="1"/>
  <c r="AI96" i="53" s="1"/>
  <c r="AJ96" i="53" s="1"/>
  <c r="U96" i="53"/>
  <c r="V96" i="53" s="1"/>
  <c r="W96" i="53" s="1"/>
  <c r="X96" i="53" s="1"/>
  <c r="AG95" i="53"/>
  <c r="AH95" i="53" s="1"/>
  <c r="AI95" i="53" s="1"/>
  <c r="AJ95" i="53" s="1"/>
  <c r="U95" i="53"/>
  <c r="V95" i="53" s="1"/>
  <c r="W95" i="53" s="1"/>
  <c r="X95" i="53" s="1"/>
  <c r="AG94" i="53"/>
  <c r="AH94" i="53" s="1"/>
  <c r="AI94" i="53" s="1"/>
  <c r="AJ94" i="53" s="1"/>
  <c r="U94" i="53"/>
  <c r="V94" i="53" s="1"/>
  <c r="W94" i="53" s="1"/>
  <c r="X94" i="53" s="1"/>
  <c r="AG93" i="53"/>
  <c r="AH93" i="53" s="1"/>
  <c r="AI93" i="53" s="1"/>
  <c r="AJ93" i="53" s="1"/>
  <c r="U93" i="53"/>
  <c r="V93" i="53" s="1"/>
  <c r="W93" i="53" s="1"/>
  <c r="X93" i="53" s="1"/>
  <c r="AG92" i="53"/>
  <c r="AH92" i="53" s="1"/>
  <c r="AI92" i="53" s="1"/>
  <c r="AJ92" i="53" s="1"/>
  <c r="U92" i="53"/>
  <c r="V92" i="53" s="1"/>
  <c r="W92" i="53" s="1"/>
  <c r="X92" i="53" s="1"/>
  <c r="AG91" i="53"/>
  <c r="AH91" i="53" s="1"/>
  <c r="AI91" i="53" s="1"/>
  <c r="AJ91" i="53" s="1"/>
  <c r="U91" i="53"/>
  <c r="V91" i="53" s="1"/>
  <c r="W91" i="53" s="1"/>
  <c r="X91" i="53" s="1"/>
  <c r="AG90" i="53"/>
  <c r="AH90" i="53" s="1"/>
  <c r="AI90" i="53" s="1"/>
  <c r="AJ90" i="53" s="1"/>
  <c r="U90" i="53"/>
  <c r="V90" i="53" s="1"/>
  <c r="W90" i="53" s="1"/>
  <c r="X90" i="53" s="1"/>
  <c r="AG89" i="53"/>
  <c r="AH89" i="53" s="1"/>
  <c r="AI89" i="53" s="1"/>
  <c r="AJ89" i="53" s="1"/>
  <c r="U89" i="53"/>
  <c r="V89" i="53" s="1"/>
  <c r="W89" i="53" s="1"/>
  <c r="X89" i="53" s="1"/>
  <c r="AG88" i="53"/>
  <c r="AH88" i="53" s="1"/>
  <c r="AI88" i="53" s="1"/>
  <c r="AJ88" i="53" s="1"/>
  <c r="U88" i="53"/>
  <c r="V88" i="53" s="1"/>
  <c r="W88" i="53" s="1"/>
  <c r="X88" i="53" s="1"/>
  <c r="AG87" i="53"/>
  <c r="AH87" i="53" s="1"/>
  <c r="AI87" i="53" s="1"/>
  <c r="AJ87" i="53" s="1"/>
  <c r="U87" i="53"/>
  <c r="V87" i="53" s="1"/>
  <c r="W87" i="53" s="1"/>
  <c r="X87" i="53" s="1"/>
  <c r="AG86" i="53"/>
  <c r="AH86" i="53" s="1"/>
  <c r="AI86" i="53" s="1"/>
  <c r="AJ86" i="53" s="1"/>
  <c r="U86" i="53"/>
  <c r="V86" i="53" s="1"/>
  <c r="W86" i="53" s="1"/>
  <c r="X86" i="53" s="1"/>
  <c r="AG85" i="53"/>
  <c r="AH85" i="53" s="1"/>
  <c r="AI85" i="53" s="1"/>
  <c r="AJ85" i="53" s="1"/>
  <c r="U85" i="53"/>
  <c r="V85" i="53" s="1"/>
  <c r="W85" i="53" s="1"/>
  <c r="X85" i="53" s="1"/>
  <c r="AG84" i="53"/>
  <c r="AH84" i="53" s="1"/>
  <c r="AI84" i="53" s="1"/>
  <c r="AJ84" i="53" s="1"/>
  <c r="U84" i="53"/>
  <c r="V84" i="53" s="1"/>
  <c r="W84" i="53" s="1"/>
  <c r="X84" i="53" s="1"/>
  <c r="AG83" i="53"/>
  <c r="AH83" i="53" s="1"/>
  <c r="AI83" i="53" s="1"/>
  <c r="AJ83" i="53" s="1"/>
  <c r="U83" i="53"/>
  <c r="V83" i="53" s="1"/>
  <c r="W83" i="53" s="1"/>
  <c r="X83" i="53" s="1"/>
  <c r="AG82" i="53"/>
  <c r="AH82" i="53" s="1"/>
  <c r="AI82" i="53" s="1"/>
  <c r="AJ82" i="53" s="1"/>
  <c r="U82" i="53"/>
  <c r="V82" i="53" s="1"/>
  <c r="W82" i="53" s="1"/>
  <c r="X82" i="53" s="1"/>
  <c r="AG81" i="53"/>
  <c r="AH81" i="53" s="1"/>
  <c r="AI81" i="53" s="1"/>
  <c r="AJ81" i="53" s="1"/>
  <c r="U81" i="53"/>
  <c r="V81" i="53" s="1"/>
  <c r="W81" i="53" s="1"/>
  <c r="X81" i="53" s="1"/>
  <c r="AG80" i="53"/>
  <c r="AH80" i="53" s="1"/>
  <c r="AI80" i="53" s="1"/>
  <c r="AJ80" i="53" s="1"/>
  <c r="U80" i="53"/>
  <c r="V80" i="53" s="1"/>
  <c r="W80" i="53" s="1"/>
  <c r="X80" i="53" s="1"/>
  <c r="AG79" i="53"/>
  <c r="AH79" i="53" s="1"/>
  <c r="AI79" i="53" s="1"/>
  <c r="AJ79" i="53" s="1"/>
  <c r="U79" i="53"/>
  <c r="V79" i="53" s="1"/>
  <c r="W79" i="53" s="1"/>
  <c r="X79" i="53" s="1"/>
  <c r="AG78" i="53"/>
  <c r="AH78" i="53" s="1"/>
  <c r="AI78" i="53" s="1"/>
  <c r="AJ78" i="53" s="1"/>
  <c r="U78" i="53"/>
  <c r="V78" i="53" s="1"/>
  <c r="W78" i="53" s="1"/>
  <c r="X78" i="53" s="1"/>
  <c r="AG77" i="53"/>
  <c r="AH77" i="53" s="1"/>
  <c r="AI77" i="53" s="1"/>
  <c r="AJ77" i="53" s="1"/>
  <c r="U77" i="53"/>
  <c r="V77" i="53" s="1"/>
  <c r="W77" i="53" s="1"/>
  <c r="X77" i="53" s="1"/>
  <c r="AG76" i="53"/>
  <c r="AH76" i="53" s="1"/>
  <c r="AI76" i="53" s="1"/>
  <c r="AJ76" i="53" s="1"/>
  <c r="U76" i="53"/>
  <c r="V76" i="53" s="1"/>
  <c r="W76" i="53" s="1"/>
  <c r="X76" i="53" s="1"/>
  <c r="AG75" i="53"/>
  <c r="AH75" i="53" s="1"/>
  <c r="AI75" i="53" s="1"/>
  <c r="AJ75" i="53" s="1"/>
  <c r="U75" i="53"/>
  <c r="V75" i="53" s="1"/>
  <c r="W75" i="53" s="1"/>
  <c r="X75" i="53" s="1"/>
  <c r="AG74" i="53"/>
  <c r="AH74" i="53" s="1"/>
  <c r="AI74" i="53" s="1"/>
  <c r="AJ74" i="53" s="1"/>
  <c r="U74" i="53"/>
  <c r="V74" i="53" s="1"/>
  <c r="W74" i="53" s="1"/>
  <c r="X74" i="53" s="1"/>
  <c r="AG73" i="53"/>
  <c r="AH73" i="53" s="1"/>
  <c r="AI73" i="53" s="1"/>
  <c r="AJ73" i="53" s="1"/>
  <c r="U73" i="53"/>
  <c r="V73" i="53" s="1"/>
  <c r="W73" i="53" s="1"/>
  <c r="X73" i="53" s="1"/>
  <c r="AG72" i="53"/>
  <c r="AH72" i="53" s="1"/>
  <c r="AI72" i="53" s="1"/>
  <c r="AJ72" i="53" s="1"/>
  <c r="U72" i="53"/>
  <c r="V72" i="53" s="1"/>
  <c r="W72" i="53" s="1"/>
  <c r="X72" i="53" s="1"/>
  <c r="AG71" i="53"/>
  <c r="AH71" i="53" s="1"/>
  <c r="AI71" i="53" s="1"/>
  <c r="AJ71" i="53" s="1"/>
  <c r="U71" i="53"/>
  <c r="V71" i="53" s="1"/>
  <c r="W71" i="53" s="1"/>
  <c r="X71" i="53" s="1"/>
  <c r="AG70" i="53"/>
  <c r="AH70" i="53" s="1"/>
  <c r="AI70" i="53" s="1"/>
  <c r="AJ70" i="53" s="1"/>
  <c r="U70" i="53"/>
  <c r="V70" i="53" s="1"/>
  <c r="W70" i="53" s="1"/>
  <c r="X70" i="53" s="1"/>
  <c r="AG69" i="53"/>
  <c r="AH69" i="53" s="1"/>
  <c r="AI69" i="53" s="1"/>
  <c r="AJ69" i="53" s="1"/>
  <c r="U69" i="53"/>
  <c r="V69" i="53" s="1"/>
  <c r="W69" i="53" s="1"/>
  <c r="X69" i="53" s="1"/>
  <c r="AG68" i="53"/>
  <c r="AH68" i="53" s="1"/>
  <c r="AI68" i="53" s="1"/>
  <c r="AJ68" i="53" s="1"/>
  <c r="U68" i="53"/>
  <c r="V68" i="53" s="1"/>
  <c r="W68" i="53" s="1"/>
  <c r="X68" i="53" s="1"/>
  <c r="AG67" i="53"/>
  <c r="AH67" i="53" s="1"/>
  <c r="AI67" i="53" s="1"/>
  <c r="AJ67" i="53" s="1"/>
  <c r="U67" i="53"/>
  <c r="V67" i="53" s="1"/>
  <c r="W67" i="53" s="1"/>
  <c r="X67" i="53" s="1"/>
  <c r="AG66" i="53"/>
  <c r="AH66" i="53" s="1"/>
  <c r="AI66" i="53" s="1"/>
  <c r="AJ66" i="53" s="1"/>
  <c r="U66" i="53"/>
  <c r="V66" i="53" s="1"/>
  <c r="W66" i="53" s="1"/>
  <c r="X66" i="53" s="1"/>
  <c r="AG65" i="53"/>
  <c r="AH65" i="53" s="1"/>
  <c r="AI65" i="53" s="1"/>
  <c r="AJ65" i="53" s="1"/>
  <c r="U65" i="53"/>
  <c r="V65" i="53" s="1"/>
  <c r="W65" i="53" s="1"/>
  <c r="X65" i="53" s="1"/>
  <c r="AG64" i="53"/>
  <c r="AH64" i="53" s="1"/>
  <c r="AI64" i="53" s="1"/>
  <c r="AJ64" i="53" s="1"/>
  <c r="U64" i="53"/>
  <c r="V64" i="53" s="1"/>
  <c r="W64" i="53" s="1"/>
  <c r="X64" i="53" s="1"/>
  <c r="AG63" i="53"/>
  <c r="AH63" i="53" s="1"/>
  <c r="AI63" i="53" s="1"/>
  <c r="AJ63" i="53" s="1"/>
  <c r="U63" i="53"/>
  <c r="V63" i="53" s="1"/>
  <c r="W63" i="53" s="1"/>
  <c r="X63" i="53" s="1"/>
  <c r="AG62" i="53"/>
  <c r="AH62" i="53" s="1"/>
  <c r="AI62" i="53" s="1"/>
  <c r="AJ62" i="53" s="1"/>
  <c r="U62" i="53"/>
  <c r="V62" i="53" s="1"/>
  <c r="W62" i="53" s="1"/>
  <c r="X62" i="53" s="1"/>
  <c r="AG61" i="53"/>
  <c r="AH61" i="53" s="1"/>
  <c r="AI61" i="53" s="1"/>
  <c r="AJ61" i="53" s="1"/>
  <c r="U61" i="53"/>
  <c r="V61" i="53" s="1"/>
  <c r="W61" i="53" s="1"/>
  <c r="X61" i="53" s="1"/>
  <c r="AG60" i="53"/>
  <c r="AH60" i="53" s="1"/>
  <c r="AI60" i="53" s="1"/>
  <c r="AJ60" i="53" s="1"/>
  <c r="U60" i="53"/>
  <c r="V60" i="53" s="1"/>
  <c r="W60" i="53" s="1"/>
  <c r="X60" i="53" s="1"/>
  <c r="AG59" i="53"/>
  <c r="AH59" i="53" s="1"/>
  <c r="AI59" i="53" s="1"/>
  <c r="AJ59" i="53" s="1"/>
  <c r="U59" i="53"/>
  <c r="V59" i="53" s="1"/>
  <c r="W59" i="53" s="1"/>
  <c r="X59" i="53" s="1"/>
  <c r="AG58" i="53"/>
  <c r="AH58" i="53" s="1"/>
  <c r="AI58" i="53" s="1"/>
  <c r="AJ58" i="53" s="1"/>
  <c r="U58" i="53"/>
  <c r="V58" i="53" s="1"/>
  <c r="W58" i="53" s="1"/>
  <c r="X58" i="53" s="1"/>
  <c r="AG57" i="53"/>
  <c r="AH57" i="53" s="1"/>
  <c r="AI57" i="53" s="1"/>
  <c r="AJ57" i="53" s="1"/>
  <c r="U57" i="53"/>
  <c r="V57" i="53" s="1"/>
  <c r="W57" i="53" s="1"/>
  <c r="X57" i="53" s="1"/>
  <c r="AG56" i="53"/>
  <c r="AH56" i="53" s="1"/>
  <c r="AI56" i="53" s="1"/>
  <c r="AJ56" i="53" s="1"/>
  <c r="U56" i="53"/>
  <c r="V56" i="53" s="1"/>
  <c r="W56" i="53" s="1"/>
  <c r="X56" i="53" s="1"/>
  <c r="AG55" i="53"/>
  <c r="AH55" i="53" s="1"/>
  <c r="AI55" i="53" s="1"/>
  <c r="AJ55" i="53" s="1"/>
  <c r="U55" i="53"/>
  <c r="V55" i="53" s="1"/>
  <c r="W55" i="53" s="1"/>
  <c r="X55" i="53" s="1"/>
  <c r="AG54" i="53"/>
  <c r="AH54" i="53" s="1"/>
  <c r="AI54" i="53" s="1"/>
  <c r="AJ54" i="53" s="1"/>
  <c r="U54" i="53"/>
  <c r="V54" i="53" s="1"/>
  <c r="W54" i="53" s="1"/>
  <c r="X54" i="53" s="1"/>
  <c r="AG53" i="53"/>
  <c r="AH53" i="53" s="1"/>
  <c r="AI53" i="53" s="1"/>
  <c r="AJ53" i="53" s="1"/>
  <c r="U53" i="53"/>
  <c r="V53" i="53" s="1"/>
  <c r="W53" i="53" s="1"/>
  <c r="X53" i="53" s="1"/>
  <c r="AG52" i="53"/>
  <c r="AH52" i="53" s="1"/>
  <c r="AI52" i="53" s="1"/>
  <c r="AJ52" i="53" s="1"/>
  <c r="U52" i="53"/>
  <c r="V52" i="53" s="1"/>
  <c r="W52" i="53" s="1"/>
  <c r="X52" i="53" s="1"/>
  <c r="AG51" i="53"/>
  <c r="AH51" i="53" s="1"/>
  <c r="AI51" i="53" s="1"/>
  <c r="AJ51" i="53" s="1"/>
  <c r="U51" i="53"/>
  <c r="V51" i="53" s="1"/>
  <c r="W51" i="53" s="1"/>
  <c r="X51" i="53" s="1"/>
  <c r="AG50" i="53"/>
  <c r="AH50" i="53" s="1"/>
  <c r="AI50" i="53" s="1"/>
  <c r="AJ50" i="53" s="1"/>
  <c r="U50" i="53"/>
  <c r="V50" i="53" s="1"/>
  <c r="W50" i="53" s="1"/>
  <c r="X50" i="53" s="1"/>
  <c r="AG49" i="53"/>
  <c r="AH49" i="53" s="1"/>
  <c r="AI49" i="53" s="1"/>
  <c r="AJ49" i="53" s="1"/>
  <c r="U49" i="53"/>
  <c r="V49" i="53" s="1"/>
  <c r="W49" i="53" s="1"/>
  <c r="X49" i="53" s="1"/>
  <c r="AG48" i="53"/>
  <c r="AH48" i="53" s="1"/>
  <c r="AI48" i="53" s="1"/>
  <c r="AJ48" i="53" s="1"/>
  <c r="U48" i="53"/>
  <c r="V48" i="53" s="1"/>
  <c r="W48" i="53" s="1"/>
  <c r="X48" i="53" s="1"/>
  <c r="AG47" i="53"/>
  <c r="AH47" i="53" s="1"/>
  <c r="AI47" i="53" s="1"/>
  <c r="AJ47" i="53" s="1"/>
  <c r="U47" i="53"/>
  <c r="V47" i="53" s="1"/>
  <c r="W47" i="53" s="1"/>
  <c r="X47" i="53" s="1"/>
  <c r="AG46" i="53"/>
  <c r="AH46" i="53" s="1"/>
  <c r="AI46" i="53" s="1"/>
  <c r="AJ46" i="53" s="1"/>
  <c r="U46" i="53"/>
  <c r="V46" i="53" s="1"/>
  <c r="W46" i="53" s="1"/>
  <c r="X46" i="53" s="1"/>
  <c r="AG45" i="53"/>
  <c r="AH45" i="53" s="1"/>
  <c r="AI45" i="53" s="1"/>
  <c r="AJ45" i="53" s="1"/>
  <c r="U45" i="53"/>
  <c r="V45" i="53" s="1"/>
  <c r="W45" i="53" s="1"/>
  <c r="X45" i="53" s="1"/>
  <c r="AG44" i="53"/>
  <c r="AH44" i="53" s="1"/>
  <c r="AI44" i="53" s="1"/>
  <c r="AJ44" i="53" s="1"/>
  <c r="U44" i="53"/>
  <c r="V44" i="53" s="1"/>
  <c r="W44" i="53" s="1"/>
  <c r="X44" i="53" s="1"/>
  <c r="AG43" i="53"/>
  <c r="AH43" i="53" s="1"/>
  <c r="AI43" i="53" s="1"/>
  <c r="AJ43" i="53" s="1"/>
  <c r="U43" i="53"/>
  <c r="V43" i="53" s="1"/>
  <c r="W43" i="53" s="1"/>
  <c r="X43" i="53" s="1"/>
  <c r="AG42" i="53"/>
  <c r="AH42" i="53" s="1"/>
  <c r="AI42" i="53" s="1"/>
  <c r="AJ42" i="53" s="1"/>
  <c r="U42" i="53"/>
  <c r="V42" i="53" s="1"/>
  <c r="W42" i="53" s="1"/>
  <c r="X42" i="53" s="1"/>
  <c r="AG41" i="53"/>
  <c r="AH41" i="53" s="1"/>
  <c r="AI41" i="53" s="1"/>
  <c r="AJ41" i="53" s="1"/>
  <c r="U41" i="53"/>
  <c r="V41" i="53" s="1"/>
  <c r="W41" i="53" s="1"/>
  <c r="X41" i="53" s="1"/>
  <c r="AG40" i="53"/>
  <c r="AH40" i="53" s="1"/>
  <c r="AI40" i="53" s="1"/>
  <c r="AJ40" i="53" s="1"/>
  <c r="U40" i="53"/>
  <c r="V40" i="53" s="1"/>
  <c r="W40" i="53" s="1"/>
  <c r="X40" i="53" s="1"/>
  <c r="AG39" i="53"/>
  <c r="AH39" i="53" s="1"/>
  <c r="AI39" i="53" s="1"/>
  <c r="AJ39" i="53" s="1"/>
  <c r="U39" i="53"/>
  <c r="V39" i="53" s="1"/>
  <c r="W39" i="53" s="1"/>
  <c r="X39" i="53" s="1"/>
  <c r="AG38" i="53"/>
  <c r="AH38" i="53" s="1"/>
  <c r="AI38" i="53" s="1"/>
  <c r="AJ38" i="53" s="1"/>
  <c r="U38" i="53"/>
  <c r="V38" i="53" s="1"/>
  <c r="W38" i="53" s="1"/>
  <c r="X38" i="53" s="1"/>
  <c r="AG37" i="53"/>
  <c r="AH37" i="53" s="1"/>
  <c r="AI37" i="53" s="1"/>
  <c r="AJ37" i="53" s="1"/>
  <c r="U37" i="53"/>
  <c r="V37" i="53" s="1"/>
  <c r="W37" i="53" s="1"/>
  <c r="X37" i="53" s="1"/>
  <c r="AG36" i="53"/>
  <c r="AH36" i="53" s="1"/>
  <c r="AI36" i="53" s="1"/>
  <c r="AJ36" i="53" s="1"/>
  <c r="U36" i="53"/>
  <c r="V36" i="53" s="1"/>
  <c r="W36" i="53" s="1"/>
  <c r="X36" i="53" s="1"/>
  <c r="AG35" i="53"/>
  <c r="AH35" i="53" s="1"/>
  <c r="AI35" i="53" s="1"/>
  <c r="AJ35" i="53" s="1"/>
  <c r="U35" i="53"/>
  <c r="V35" i="53" s="1"/>
  <c r="W35" i="53" s="1"/>
  <c r="X35" i="53" s="1"/>
  <c r="AG34" i="53"/>
  <c r="AH34" i="53" s="1"/>
  <c r="AI34" i="53" s="1"/>
  <c r="AJ34" i="53" s="1"/>
  <c r="U34" i="53"/>
  <c r="V34" i="53" s="1"/>
  <c r="W34" i="53" s="1"/>
  <c r="X34" i="53" s="1"/>
  <c r="AG33" i="53"/>
  <c r="AH33" i="53" s="1"/>
  <c r="AI33" i="53" s="1"/>
  <c r="AJ33" i="53" s="1"/>
  <c r="U33" i="53"/>
  <c r="V33" i="53" s="1"/>
  <c r="W33" i="53" s="1"/>
  <c r="X33" i="53" s="1"/>
  <c r="AG32" i="53"/>
  <c r="AH32" i="53" s="1"/>
  <c r="AI32" i="53" s="1"/>
  <c r="AJ32" i="53" s="1"/>
  <c r="U32" i="53"/>
  <c r="V32" i="53" s="1"/>
  <c r="W32" i="53" s="1"/>
  <c r="X32" i="53" s="1"/>
  <c r="AG31" i="53"/>
  <c r="AH31" i="53" s="1"/>
  <c r="AI31" i="53" s="1"/>
  <c r="AJ31" i="53" s="1"/>
  <c r="U31" i="53"/>
  <c r="V31" i="53" s="1"/>
  <c r="W31" i="53" s="1"/>
  <c r="X31" i="53" s="1"/>
  <c r="AG30" i="53"/>
  <c r="AH30" i="53" s="1"/>
  <c r="AI30" i="53" s="1"/>
  <c r="AJ30" i="53" s="1"/>
  <c r="U30" i="53"/>
  <c r="V30" i="53" s="1"/>
  <c r="W30" i="53" s="1"/>
  <c r="X30" i="53" s="1"/>
  <c r="AG29" i="53"/>
  <c r="AH29" i="53" s="1"/>
  <c r="AI29" i="53" s="1"/>
  <c r="AJ29" i="53" s="1"/>
  <c r="U29" i="53"/>
  <c r="V29" i="53" s="1"/>
  <c r="W29" i="53" s="1"/>
  <c r="X29" i="53" s="1"/>
  <c r="AG28" i="53"/>
  <c r="AH28" i="53" s="1"/>
  <c r="AI28" i="53" s="1"/>
  <c r="AJ28" i="53" s="1"/>
  <c r="U28" i="53"/>
  <c r="V28" i="53" s="1"/>
  <c r="W28" i="53" s="1"/>
  <c r="X28" i="53" s="1"/>
  <c r="AG27" i="53"/>
  <c r="AH27" i="53" s="1"/>
  <c r="AI27" i="53" s="1"/>
  <c r="AJ27" i="53" s="1"/>
  <c r="U27" i="53"/>
  <c r="V27" i="53" s="1"/>
  <c r="W27" i="53" s="1"/>
  <c r="X27" i="53" s="1"/>
  <c r="AG26" i="53"/>
  <c r="AH26" i="53" s="1"/>
  <c r="AI26" i="53" s="1"/>
  <c r="AJ26" i="53" s="1"/>
  <c r="U26" i="53"/>
  <c r="V26" i="53" s="1"/>
  <c r="W26" i="53" s="1"/>
  <c r="X26" i="53" s="1"/>
  <c r="AG25" i="53"/>
  <c r="AH25" i="53" s="1"/>
  <c r="AI25" i="53" s="1"/>
  <c r="AJ25" i="53" s="1"/>
  <c r="U25" i="53"/>
  <c r="V25" i="53" s="1"/>
  <c r="W25" i="53" s="1"/>
  <c r="X25" i="53" s="1"/>
  <c r="AG24" i="53"/>
  <c r="AH24" i="53" s="1"/>
  <c r="AI24" i="53" s="1"/>
  <c r="AJ24" i="53" s="1"/>
  <c r="U24" i="53"/>
  <c r="V24" i="53" s="1"/>
  <c r="W24" i="53" s="1"/>
  <c r="X24" i="53" s="1"/>
  <c r="AG23" i="53"/>
  <c r="AH23" i="53" s="1"/>
  <c r="AI23" i="53" s="1"/>
  <c r="AJ23" i="53" s="1"/>
  <c r="U23" i="53"/>
  <c r="V23" i="53" s="1"/>
  <c r="W23" i="53" s="1"/>
  <c r="X23" i="53" s="1"/>
  <c r="AG22" i="53"/>
  <c r="AH22" i="53" s="1"/>
  <c r="AI22" i="53" s="1"/>
  <c r="AJ22" i="53" s="1"/>
  <c r="U22" i="53"/>
  <c r="V22" i="53" s="1"/>
  <c r="W22" i="53" s="1"/>
  <c r="X22" i="53" s="1"/>
  <c r="AG21" i="53"/>
  <c r="AH21" i="53" s="1"/>
  <c r="AI21" i="53" s="1"/>
  <c r="AJ21" i="53" s="1"/>
  <c r="U21" i="53"/>
  <c r="V21" i="53" s="1"/>
  <c r="W21" i="53" s="1"/>
  <c r="X21" i="53" s="1"/>
  <c r="AG20" i="53"/>
  <c r="AH20" i="53" s="1"/>
  <c r="AI20" i="53" s="1"/>
  <c r="AJ20" i="53" s="1"/>
  <c r="U20" i="53"/>
  <c r="V20" i="53" s="1"/>
  <c r="W20" i="53" s="1"/>
  <c r="X20" i="53" s="1"/>
  <c r="AG19" i="53"/>
  <c r="AH19" i="53" s="1"/>
  <c r="AI19" i="53" s="1"/>
  <c r="AJ19" i="53" s="1"/>
  <c r="U19" i="53"/>
  <c r="V19" i="53" s="1"/>
  <c r="W19" i="53" s="1"/>
  <c r="X19" i="53" s="1"/>
  <c r="AG18" i="53"/>
  <c r="AH18" i="53" s="1"/>
  <c r="AI18" i="53" s="1"/>
  <c r="AJ18" i="53" s="1"/>
  <c r="U18" i="53"/>
  <c r="V18" i="53" s="1"/>
  <c r="W18" i="53" s="1"/>
  <c r="X18" i="53" s="1"/>
  <c r="AG17" i="53"/>
  <c r="AH17" i="53" s="1"/>
  <c r="AI17" i="53" s="1"/>
  <c r="AJ17" i="53" s="1"/>
  <c r="U17" i="53"/>
  <c r="V17" i="53" s="1"/>
  <c r="W17" i="53" s="1"/>
  <c r="X17" i="53" s="1"/>
  <c r="AG16" i="53"/>
  <c r="AH16" i="53" s="1"/>
  <c r="AI16" i="53" s="1"/>
  <c r="AJ16" i="53" s="1"/>
  <c r="U16" i="53"/>
  <c r="V16" i="53" s="1"/>
  <c r="W16" i="53" s="1"/>
  <c r="X16" i="53" s="1"/>
  <c r="K150" i="29"/>
  <c r="Y150" i="29" s="1"/>
  <c r="K118" i="29"/>
  <c r="Y118" i="29" s="1"/>
  <c r="I29" i="53"/>
  <c r="I17" i="53"/>
  <c r="J17" i="53" s="1"/>
  <c r="I25" i="53"/>
  <c r="I21" i="53"/>
  <c r="I32" i="53"/>
  <c r="N137" i="53"/>
  <c r="I20" i="53"/>
  <c r="N28" i="53"/>
  <c r="N132" i="53"/>
  <c r="N89" i="53"/>
  <c r="N73" i="53"/>
  <c r="I129" i="53"/>
  <c r="N120" i="53"/>
  <c r="N101" i="53"/>
  <c r="N93" i="53"/>
  <c r="I65" i="53"/>
  <c r="J65" i="53" s="1"/>
  <c r="K65" i="53" s="1"/>
  <c r="I61" i="53"/>
  <c r="I57" i="53"/>
  <c r="N53" i="53"/>
  <c r="I49" i="53"/>
  <c r="J49" i="53" s="1"/>
  <c r="I45" i="53"/>
  <c r="I41" i="53"/>
  <c r="I24" i="53"/>
  <c r="I92" i="53"/>
  <c r="I104" i="53"/>
  <c r="J104" i="53" s="1"/>
  <c r="I106" i="53"/>
  <c r="N108" i="53"/>
  <c r="I109" i="53"/>
  <c r="I124" i="53"/>
  <c r="I128" i="53"/>
  <c r="I40" i="53"/>
  <c r="I44" i="53"/>
  <c r="N48" i="53"/>
  <c r="I56" i="53"/>
  <c r="I60" i="53"/>
  <c r="N64" i="53"/>
  <c r="I72" i="53"/>
  <c r="I76" i="53"/>
  <c r="I117" i="53"/>
  <c r="N121" i="53"/>
  <c r="I133" i="53"/>
  <c r="K17" i="53"/>
  <c r="L17" i="53" s="1"/>
  <c r="I70" i="29"/>
  <c r="W70" i="29" s="1"/>
  <c r="I72" i="29"/>
  <c r="W72" i="29" s="1"/>
  <c r="M67" i="18"/>
  <c r="O40" i="35"/>
  <c r="H55" i="18"/>
  <c r="H165" i="18" s="1"/>
  <c r="I55" i="18"/>
  <c r="J55" i="18"/>
  <c r="J165" i="18" s="1"/>
  <c r="K55" i="18"/>
  <c r="L55" i="18"/>
  <c r="L252" i="18" s="1"/>
  <c r="M55" i="18"/>
  <c r="M165" i="18" s="1"/>
  <c r="D18" i="22"/>
  <c r="H61" i="18"/>
  <c r="I61" i="18"/>
  <c r="J61" i="18"/>
  <c r="K61" i="18"/>
  <c r="L61" i="18"/>
  <c r="M61" i="18"/>
  <c r="D90" i="22"/>
  <c r="D95" i="22"/>
  <c r="E76" i="22" s="1"/>
  <c r="E29" i="22"/>
  <c r="E27" i="22"/>
  <c r="I115" i="29"/>
  <c r="W115" i="29" s="1"/>
  <c r="I113" i="29"/>
  <c r="W113" i="29" s="1"/>
  <c r="I111" i="29"/>
  <c r="W111" i="29" s="1"/>
  <c r="I109" i="29"/>
  <c r="W109" i="29" s="1"/>
  <c r="I107" i="29"/>
  <c r="W107" i="29" s="1"/>
  <c r="I105" i="29"/>
  <c r="I103" i="29"/>
  <c r="W103" i="29" s="1"/>
  <c r="I101" i="29"/>
  <c r="W101" i="29" s="1"/>
  <c r="I99" i="29"/>
  <c r="W99" i="29" s="1"/>
  <c r="I76" i="29"/>
  <c r="W76" i="29" s="1"/>
  <c r="I78" i="29"/>
  <c r="I80" i="29"/>
  <c r="W80" i="29" s="1"/>
  <c r="I82" i="29"/>
  <c r="W82" i="29" s="1"/>
  <c r="I84" i="29"/>
  <c r="W84" i="29" s="1"/>
  <c r="I86" i="29"/>
  <c r="I88" i="29"/>
  <c r="W88" i="29" s="1"/>
  <c r="I90" i="29"/>
  <c r="W90" i="29" s="1"/>
  <c r="I92" i="29"/>
  <c r="W92" i="29" s="1"/>
  <c r="I94" i="29"/>
  <c r="W94" i="29" s="1"/>
  <c r="I96" i="29"/>
  <c r="W96" i="29" s="1"/>
  <c r="O59" i="29"/>
  <c r="I116" i="29"/>
  <c r="I114" i="29"/>
  <c r="W114" i="29" s="1"/>
  <c r="I112" i="29"/>
  <c r="W112" i="29" s="1"/>
  <c r="I110" i="29"/>
  <c r="W110" i="29" s="1"/>
  <c r="I108" i="29"/>
  <c r="I106" i="29"/>
  <c r="W106" i="29" s="1"/>
  <c r="I104" i="29"/>
  <c r="W104" i="29" s="1"/>
  <c r="I102" i="29"/>
  <c r="W102" i="29" s="1"/>
  <c r="I100" i="29"/>
  <c r="I98" i="29"/>
  <c r="W98" i="29" s="1"/>
  <c r="I75" i="29"/>
  <c r="W75" i="29" s="1"/>
  <c r="I77" i="29"/>
  <c r="W77" i="29" s="1"/>
  <c r="I79" i="29"/>
  <c r="W79" i="29" s="1"/>
  <c r="I81" i="29"/>
  <c r="W81" i="29" s="1"/>
  <c r="I83" i="29"/>
  <c r="W83" i="29" s="1"/>
  <c r="I85" i="29"/>
  <c r="W85" i="29" s="1"/>
  <c r="I87" i="29"/>
  <c r="W87" i="29" s="1"/>
  <c r="I89" i="29"/>
  <c r="W89" i="29" s="1"/>
  <c r="I91" i="29"/>
  <c r="W91" i="29" s="1"/>
  <c r="I93" i="29"/>
  <c r="W93" i="29" s="1"/>
  <c r="I95" i="29"/>
  <c r="W95" i="29" s="1"/>
  <c r="H53" i="29"/>
  <c r="I74" i="29"/>
  <c r="W74" i="29" s="1"/>
  <c r="N17" i="53"/>
  <c r="N81" i="53"/>
  <c r="N85" i="53"/>
  <c r="N97" i="53"/>
  <c r="N44" i="53"/>
  <c r="N92" i="53"/>
  <c r="N124" i="53"/>
  <c r="N133" i="53"/>
  <c r="G15" i="22"/>
  <c r="J85" i="29"/>
  <c r="X85" i="29" s="1"/>
  <c r="J81" i="29"/>
  <c r="X81" i="29" s="1"/>
  <c r="J77" i="29"/>
  <c r="X77" i="29" s="1"/>
  <c r="J104" i="29"/>
  <c r="X104" i="29" s="1"/>
  <c r="J112" i="29"/>
  <c r="X112" i="29" s="1"/>
  <c r="P59" i="29"/>
  <c r="J82" i="29"/>
  <c r="X82" i="29" s="1"/>
  <c r="J74" i="29"/>
  <c r="X74" i="29" s="1"/>
  <c r="J101" i="29"/>
  <c r="X101" i="29" s="1"/>
  <c r="I20" i="28"/>
  <c r="H20" i="28"/>
  <c r="G20" i="28"/>
  <c r="F20" i="28"/>
  <c r="G16" i="28"/>
  <c r="H16" i="28"/>
  <c r="I16" i="28"/>
  <c r="F16" i="28"/>
  <c r="H64" i="22"/>
  <c r="H65" i="22"/>
  <c r="H63" i="22"/>
  <c r="E130" i="22"/>
  <c r="E138" i="22" s="1"/>
  <c r="D128" i="22"/>
  <c r="C127" i="22"/>
  <c r="E62" i="22"/>
  <c r="I32" i="31"/>
  <c r="I33" i="31"/>
  <c r="I34" i="31"/>
  <c r="D115" i="22"/>
  <c r="AI18" i="43"/>
  <c r="AJ18" i="43" s="1"/>
  <c r="AK18" i="43" s="1"/>
  <c r="AL18" i="43" s="1"/>
  <c r="AI19" i="43"/>
  <c r="AJ19" i="43" s="1"/>
  <c r="AK19" i="43" s="1"/>
  <c r="AL19" i="43" s="1"/>
  <c r="AI20" i="43"/>
  <c r="AJ20" i="43" s="1"/>
  <c r="AK20" i="43" s="1"/>
  <c r="AL20" i="43" s="1"/>
  <c r="AI21" i="43"/>
  <c r="AJ21" i="43" s="1"/>
  <c r="AK21" i="43" s="1"/>
  <c r="AL21" i="43" s="1"/>
  <c r="AI22" i="43"/>
  <c r="AJ22" i="43" s="1"/>
  <c r="AK22" i="43" s="1"/>
  <c r="AL22" i="43" s="1"/>
  <c r="AI23" i="43"/>
  <c r="AJ23" i="43" s="1"/>
  <c r="AK23" i="43" s="1"/>
  <c r="AL23" i="43" s="1"/>
  <c r="AI24" i="43"/>
  <c r="AJ24" i="43" s="1"/>
  <c r="AK24" i="43" s="1"/>
  <c r="AL24" i="43" s="1"/>
  <c r="AI25" i="43"/>
  <c r="AJ25" i="43" s="1"/>
  <c r="AK25" i="43" s="1"/>
  <c r="AL25" i="43" s="1"/>
  <c r="AI26" i="43"/>
  <c r="AJ26" i="43" s="1"/>
  <c r="AK26" i="43" s="1"/>
  <c r="AL26" i="43" s="1"/>
  <c r="AI27" i="43"/>
  <c r="AJ27" i="43" s="1"/>
  <c r="AK27" i="43" s="1"/>
  <c r="AL27" i="43" s="1"/>
  <c r="AI28" i="43"/>
  <c r="AJ28" i="43" s="1"/>
  <c r="AK28" i="43" s="1"/>
  <c r="AL28" i="43" s="1"/>
  <c r="AI29" i="43"/>
  <c r="AJ29" i="43" s="1"/>
  <c r="AK29" i="43" s="1"/>
  <c r="AL29" i="43" s="1"/>
  <c r="AI30" i="43"/>
  <c r="AJ30" i="43" s="1"/>
  <c r="AK30" i="43" s="1"/>
  <c r="AL30" i="43" s="1"/>
  <c r="AI31" i="43"/>
  <c r="AJ31" i="43" s="1"/>
  <c r="AK31" i="43" s="1"/>
  <c r="AL31" i="43" s="1"/>
  <c r="AI32" i="43"/>
  <c r="AJ32" i="43" s="1"/>
  <c r="AK32" i="43" s="1"/>
  <c r="AL32" i="43" s="1"/>
  <c r="AI33" i="43"/>
  <c r="AJ33" i="43" s="1"/>
  <c r="AK33" i="43" s="1"/>
  <c r="AL33" i="43" s="1"/>
  <c r="AI34" i="43"/>
  <c r="AJ34" i="43" s="1"/>
  <c r="AK34" i="43" s="1"/>
  <c r="AL34" i="43" s="1"/>
  <c r="AI35" i="43"/>
  <c r="AJ35" i="43" s="1"/>
  <c r="AK35" i="43" s="1"/>
  <c r="AL35" i="43" s="1"/>
  <c r="AI36" i="43"/>
  <c r="AJ36" i="43" s="1"/>
  <c r="AK36" i="43" s="1"/>
  <c r="AL36" i="43" s="1"/>
  <c r="AI37" i="43"/>
  <c r="AJ37" i="43" s="1"/>
  <c r="AK37" i="43" s="1"/>
  <c r="AL37" i="43" s="1"/>
  <c r="AI38" i="43"/>
  <c r="AJ38" i="43" s="1"/>
  <c r="AK38" i="43" s="1"/>
  <c r="AL38" i="43" s="1"/>
  <c r="AI39" i="43"/>
  <c r="AJ39" i="43" s="1"/>
  <c r="AK39" i="43" s="1"/>
  <c r="AL39" i="43" s="1"/>
  <c r="AI40" i="43"/>
  <c r="AJ40" i="43" s="1"/>
  <c r="AK40" i="43" s="1"/>
  <c r="AL40" i="43" s="1"/>
  <c r="AI41" i="43"/>
  <c r="AJ41" i="43" s="1"/>
  <c r="AK41" i="43" s="1"/>
  <c r="AL41" i="43" s="1"/>
  <c r="AI42" i="43"/>
  <c r="AJ42" i="43" s="1"/>
  <c r="AK42" i="43" s="1"/>
  <c r="AL42" i="43" s="1"/>
  <c r="AI43" i="43"/>
  <c r="AJ43" i="43" s="1"/>
  <c r="AK43" i="43" s="1"/>
  <c r="AL43" i="43" s="1"/>
  <c r="AI44" i="43"/>
  <c r="AJ44" i="43" s="1"/>
  <c r="AK44" i="43" s="1"/>
  <c r="AL44" i="43" s="1"/>
  <c r="AI45" i="43"/>
  <c r="AJ45" i="43" s="1"/>
  <c r="AK45" i="43" s="1"/>
  <c r="AL45" i="43" s="1"/>
  <c r="AI46" i="43"/>
  <c r="AJ46" i="43" s="1"/>
  <c r="AK46" i="43" s="1"/>
  <c r="AL46" i="43" s="1"/>
  <c r="AI47" i="43"/>
  <c r="AJ47" i="43" s="1"/>
  <c r="AK47" i="43" s="1"/>
  <c r="AL47" i="43" s="1"/>
  <c r="AI48" i="43"/>
  <c r="AJ48" i="43" s="1"/>
  <c r="AK48" i="43" s="1"/>
  <c r="AL48" i="43" s="1"/>
  <c r="AI49" i="43"/>
  <c r="AJ49" i="43" s="1"/>
  <c r="AK49" i="43" s="1"/>
  <c r="AL49" i="43" s="1"/>
  <c r="AI50" i="43"/>
  <c r="AJ50" i="43" s="1"/>
  <c r="AK50" i="43" s="1"/>
  <c r="AL50" i="43" s="1"/>
  <c r="AI51" i="43"/>
  <c r="AJ51" i="43" s="1"/>
  <c r="AK51" i="43" s="1"/>
  <c r="AL51" i="43" s="1"/>
  <c r="AI52" i="43"/>
  <c r="AJ52" i="43" s="1"/>
  <c r="AK52" i="43" s="1"/>
  <c r="AL52" i="43" s="1"/>
  <c r="AI53" i="43"/>
  <c r="AJ53" i="43" s="1"/>
  <c r="AK53" i="43" s="1"/>
  <c r="AL53" i="43" s="1"/>
  <c r="AI54" i="43"/>
  <c r="AJ54" i="43" s="1"/>
  <c r="AK54" i="43" s="1"/>
  <c r="AL54" i="43" s="1"/>
  <c r="AI55" i="43"/>
  <c r="AJ55" i="43" s="1"/>
  <c r="AK55" i="43" s="1"/>
  <c r="AL55" i="43" s="1"/>
  <c r="AI56" i="43"/>
  <c r="AJ56" i="43" s="1"/>
  <c r="AK56" i="43" s="1"/>
  <c r="AL56" i="43" s="1"/>
  <c r="AI57" i="43"/>
  <c r="AJ57" i="43" s="1"/>
  <c r="AK57" i="43" s="1"/>
  <c r="AL57" i="43" s="1"/>
  <c r="AI58" i="43"/>
  <c r="AJ58" i="43" s="1"/>
  <c r="AK58" i="43" s="1"/>
  <c r="AL58" i="43" s="1"/>
  <c r="AI59" i="43"/>
  <c r="AJ59" i="43" s="1"/>
  <c r="AK59" i="43" s="1"/>
  <c r="AL59" i="43" s="1"/>
  <c r="AI60" i="43"/>
  <c r="AJ60" i="43" s="1"/>
  <c r="AK60" i="43" s="1"/>
  <c r="AL60" i="43" s="1"/>
  <c r="AI61" i="43"/>
  <c r="AJ61" i="43" s="1"/>
  <c r="AK61" i="43" s="1"/>
  <c r="AL61" i="43" s="1"/>
  <c r="AI62" i="43"/>
  <c r="AJ62" i="43" s="1"/>
  <c r="AK62" i="43" s="1"/>
  <c r="AL62" i="43" s="1"/>
  <c r="AI63" i="43"/>
  <c r="AJ63" i="43" s="1"/>
  <c r="AK63" i="43" s="1"/>
  <c r="AL63" i="43" s="1"/>
  <c r="AI64" i="43"/>
  <c r="AJ64" i="43" s="1"/>
  <c r="AK64" i="43" s="1"/>
  <c r="AL64" i="43" s="1"/>
  <c r="AI65" i="43"/>
  <c r="AJ65" i="43" s="1"/>
  <c r="AK65" i="43" s="1"/>
  <c r="AL65" i="43" s="1"/>
  <c r="AI66" i="43"/>
  <c r="AJ66" i="43" s="1"/>
  <c r="AK66" i="43" s="1"/>
  <c r="AL66" i="43" s="1"/>
  <c r="AI67" i="43"/>
  <c r="AJ67" i="43" s="1"/>
  <c r="AK67" i="43" s="1"/>
  <c r="AL67" i="43" s="1"/>
  <c r="AI68" i="43"/>
  <c r="AJ68" i="43" s="1"/>
  <c r="AK68" i="43" s="1"/>
  <c r="AL68" i="43" s="1"/>
  <c r="AI69" i="43"/>
  <c r="AJ69" i="43" s="1"/>
  <c r="AK69" i="43" s="1"/>
  <c r="AL69" i="43" s="1"/>
  <c r="AI70" i="43"/>
  <c r="AJ70" i="43" s="1"/>
  <c r="AK70" i="43" s="1"/>
  <c r="AL70" i="43" s="1"/>
  <c r="AI71" i="43"/>
  <c r="AJ71" i="43" s="1"/>
  <c r="AK71" i="43" s="1"/>
  <c r="AL71" i="43" s="1"/>
  <c r="AI72" i="43"/>
  <c r="AJ72" i="43" s="1"/>
  <c r="AK72" i="43" s="1"/>
  <c r="AL72" i="43" s="1"/>
  <c r="AI73" i="43"/>
  <c r="AJ73" i="43" s="1"/>
  <c r="AK73" i="43" s="1"/>
  <c r="AL73" i="43" s="1"/>
  <c r="AI74" i="43"/>
  <c r="AJ74" i="43" s="1"/>
  <c r="AK74" i="43" s="1"/>
  <c r="AL74" i="43" s="1"/>
  <c r="AI75" i="43"/>
  <c r="AJ75" i="43" s="1"/>
  <c r="AK75" i="43" s="1"/>
  <c r="AL75" i="43" s="1"/>
  <c r="AI76" i="43"/>
  <c r="AJ76" i="43" s="1"/>
  <c r="AK76" i="43" s="1"/>
  <c r="AL76" i="43" s="1"/>
  <c r="AI77" i="43"/>
  <c r="AJ77" i="43" s="1"/>
  <c r="AK77" i="43" s="1"/>
  <c r="AL77" i="43" s="1"/>
  <c r="AI78" i="43"/>
  <c r="AJ78" i="43" s="1"/>
  <c r="AK78" i="43" s="1"/>
  <c r="AL78" i="43" s="1"/>
  <c r="AI79" i="43"/>
  <c r="AJ79" i="43" s="1"/>
  <c r="AK79" i="43" s="1"/>
  <c r="AL79" i="43" s="1"/>
  <c r="AI80" i="43"/>
  <c r="AJ80" i="43" s="1"/>
  <c r="AK80" i="43" s="1"/>
  <c r="AL80" i="43" s="1"/>
  <c r="AI81" i="43"/>
  <c r="AJ81" i="43" s="1"/>
  <c r="AK81" i="43" s="1"/>
  <c r="AL81" i="43" s="1"/>
  <c r="AI82" i="43"/>
  <c r="AJ82" i="43" s="1"/>
  <c r="AK82" i="43" s="1"/>
  <c r="AL82" i="43" s="1"/>
  <c r="AI83" i="43"/>
  <c r="AJ83" i="43" s="1"/>
  <c r="AK83" i="43" s="1"/>
  <c r="AL83" i="43" s="1"/>
  <c r="AI84" i="43"/>
  <c r="AJ84" i="43" s="1"/>
  <c r="AK84" i="43" s="1"/>
  <c r="AL84" i="43" s="1"/>
  <c r="AI85" i="43"/>
  <c r="AJ85" i="43" s="1"/>
  <c r="AK85" i="43" s="1"/>
  <c r="AL85" i="43" s="1"/>
  <c r="AI86" i="43"/>
  <c r="AJ86" i="43" s="1"/>
  <c r="AK86" i="43" s="1"/>
  <c r="AL86" i="43" s="1"/>
  <c r="AI87" i="43"/>
  <c r="AJ87" i="43" s="1"/>
  <c r="AK87" i="43" s="1"/>
  <c r="AL87" i="43" s="1"/>
  <c r="AI88" i="43"/>
  <c r="AJ88" i="43" s="1"/>
  <c r="AK88" i="43" s="1"/>
  <c r="AL88" i="43" s="1"/>
  <c r="AI89" i="43"/>
  <c r="AJ89" i="43" s="1"/>
  <c r="AK89" i="43" s="1"/>
  <c r="AL89" i="43" s="1"/>
  <c r="AI90" i="43"/>
  <c r="AJ90" i="43" s="1"/>
  <c r="AK90" i="43" s="1"/>
  <c r="AL90" i="43" s="1"/>
  <c r="AI91" i="43"/>
  <c r="AJ91" i="43" s="1"/>
  <c r="AK91" i="43" s="1"/>
  <c r="AL91" i="43" s="1"/>
  <c r="AI92" i="43"/>
  <c r="AJ92" i="43" s="1"/>
  <c r="AK92" i="43" s="1"/>
  <c r="AL92" i="43" s="1"/>
  <c r="AI93" i="43"/>
  <c r="AJ93" i="43" s="1"/>
  <c r="AK93" i="43" s="1"/>
  <c r="AL93" i="43" s="1"/>
  <c r="AI94" i="43"/>
  <c r="AJ94" i="43" s="1"/>
  <c r="AK94" i="43" s="1"/>
  <c r="AL94" i="43" s="1"/>
  <c r="AI95" i="43"/>
  <c r="AJ95" i="43" s="1"/>
  <c r="AK95" i="43" s="1"/>
  <c r="AL95" i="43" s="1"/>
  <c r="AI96" i="43"/>
  <c r="AJ96" i="43" s="1"/>
  <c r="AK96" i="43" s="1"/>
  <c r="AL96" i="43" s="1"/>
  <c r="AI97" i="43"/>
  <c r="AJ97" i="43" s="1"/>
  <c r="AK97" i="43" s="1"/>
  <c r="AL97" i="43" s="1"/>
  <c r="AI98" i="43"/>
  <c r="AJ98" i="43" s="1"/>
  <c r="AK98" i="43" s="1"/>
  <c r="AL98" i="43" s="1"/>
  <c r="AI99" i="43"/>
  <c r="AJ99" i="43" s="1"/>
  <c r="AK99" i="43" s="1"/>
  <c r="AL99" i="43" s="1"/>
  <c r="AI100" i="43"/>
  <c r="AJ100" i="43" s="1"/>
  <c r="AK100" i="43" s="1"/>
  <c r="AL100" i="43" s="1"/>
  <c r="AI101" i="43"/>
  <c r="AJ101" i="43" s="1"/>
  <c r="AK101" i="43" s="1"/>
  <c r="AL101" i="43" s="1"/>
  <c r="AI102" i="43"/>
  <c r="AJ102" i="43" s="1"/>
  <c r="AK102" i="43" s="1"/>
  <c r="AL102" i="43" s="1"/>
  <c r="AI103" i="43"/>
  <c r="AJ103" i="43" s="1"/>
  <c r="AK103" i="43" s="1"/>
  <c r="AL103" i="43" s="1"/>
  <c r="AI104" i="43"/>
  <c r="AJ104" i="43" s="1"/>
  <c r="AK104" i="43" s="1"/>
  <c r="AL104" i="43" s="1"/>
  <c r="AI105" i="43"/>
  <c r="AJ105" i="43" s="1"/>
  <c r="AK105" i="43" s="1"/>
  <c r="AL105" i="43" s="1"/>
  <c r="AI106" i="43"/>
  <c r="AJ106" i="43" s="1"/>
  <c r="AK106" i="43" s="1"/>
  <c r="AL106" i="43" s="1"/>
  <c r="AI107" i="43"/>
  <c r="AJ107" i="43" s="1"/>
  <c r="AK107" i="43" s="1"/>
  <c r="AL107" i="43" s="1"/>
  <c r="AI108" i="43"/>
  <c r="AJ108" i="43" s="1"/>
  <c r="AK108" i="43" s="1"/>
  <c r="AL108" i="43" s="1"/>
  <c r="AI109" i="43"/>
  <c r="AJ109" i="43" s="1"/>
  <c r="AK109" i="43" s="1"/>
  <c r="AL109" i="43" s="1"/>
  <c r="AI110" i="43"/>
  <c r="AJ110" i="43" s="1"/>
  <c r="AK110" i="43" s="1"/>
  <c r="AL110" i="43" s="1"/>
  <c r="AI111" i="43"/>
  <c r="AJ111" i="43" s="1"/>
  <c r="AK111" i="43" s="1"/>
  <c r="AL111" i="43" s="1"/>
  <c r="AI112" i="43"/>
  <c r="AJ112" i="43" s="1"/>
  <c r="AK112" i="43" s="1"/>
  <c r="AL112" i="43" s="1"/>
  <c r="AI113" i="43"/>
  <c r="AJ113" i="43" s="1"/>
  <c r="AK113" i="43" s="1"/>
  <c r="AL113" i="43" s="1"/>
  <c r="AI114" i="43"/>
  <c r="AJ114" i="43" s="1"/>
  <c r="AK114" i="43" s="1"/>
  <c r="AL114" i="43" s="1"/>
  <c r="AI115" i="43"/>
  <c r="AJ115" i="43" s="1"/>
  <c r="AK115" i="43" s="1"/>
  <c r="AL115" i="43" s="1"/>
  <c r="AI116" i="43"/>
  <c r="AJ116" i="43" s="1"/>
  <c r="AK116" i="43" s="1"/>
  <c r="AL116" i="43" s="1"/>
  <c r="AI117" i="43"/>
  <c r="AJ117" i="43" s="1"/>
  <c r="AK117" i="43" s="1"/>
  <c r="AL117" i="43" s="1"/>
  <c r="AI118" i="43"/>
  <c r="AJ118" i="43" s="1"/>
  <c r="AK118" i="43" s="1"/>
  <c r="AL118" i="43" s="1"/>
  <c r="AI119" i="43"/>
  <c r="AJ119" i="43" s="1"/>
  <c r="AK119" i="43" s="1"/>
  <c r="AL119" i="43" s="1"/>
  <c r="AI120" i="43"/>
  <c r="AJ120" i="43" s="1"/>
  <c r="AK120" i="43" s="1"/>
  <c r="AL120" i="43" s="1"/>
  <c r="AI121" i="43"/>
  <c r="AJ121" i="43" s="1"/>
  <c r="AK121" i="43" s="1"/>
  <c r="AL121" i="43" s="1"/>
  <c r="AI122" i="43"/>
  <c r="AJ122" i="43" s="1"/>
  <c r="AK122" i="43" s="1"/>
  <c r="AL122" i="43" s="1"/>
  <c r="AI123" i="43"/>
  <c r="AJ123" i="43" s="1"/>
  <c r="AK123" i="43" s="1"/>
  <c r="AL123" i="43" s="1"/>
  <c r="AI124" i="43"/>
  <c r="AJ124" i="43" s="1"/>
  <c r="AK124" i="43" s="1"/>
  <c r="AL124" i="43" s="1"/>
  <c r="AI125" i="43"/>
  <c r="AJ125" i="43" s="1"/>
  <c r="AK125" i="43" s="1"/>
  <c r="AL125" i="43" s="1"/>
  <c r="AI126" i="43"/>
  <c r="AJ126" i="43" s="1"/>
  <c r="AK126" i="43" s="1"/>
  <c r="AL126" i="43" s="1"/>
  <c r="AI127" i="43"/>
  <c r="AJ127" i="43" s="1"/>
  <c r="AK127" i="43" s="1"/>
  <c r="AL127" i="43" s="1"/>
  <c r="AI128" i="43"/>
  <c r="AJ128" i="43" s="1"/>
  <c r="AK128" i="43" s="1"/>
  <c r="AL128" i="43" s="1"/>
  <c r="AI129" i="43"/>
  <c r="AJ129" i="43" s="1"/>
  <c r="AK129" i="43" s="1"/>
  <c r="AL129" i="43" s="1"/>
  <c r="AI130" i="43"/>
  <c r="AJ130" i="43" s="1"/>
  <c r="AK130" i="43" s="1"/>
  <c r="AL130" i="43" s="1"/>
  <c r="AI131" i="43"/>
  <c r="AJ131" i="43" s="1"/>
  <c r="AK131" i="43" s="1"/>
  <c r="AL131" i="43" s="1"/>
  <c r="AI132" i="43"/>
  <c r="AJ132" i="43" s="1"/>
  <c r="AK132" i="43" s="1"/>
  <c r="AL132" i="43" s="1"/>
  <c r="AI133" i="43"/>
  <c r="AJ133" i="43" s="1"/>
  <c r="AK133" i="43" s="1"/>
  <c r="AL133" i="43" s="1"/>
  <c r="AI134" i="43"/>
  <c r="AJ134" i="43" s="1"/>
  <c r="AK134" i="43" s="1"/>
  <c r="AL134" i="43" s="1"/>
  <c r="AI135" i="43"/>
  <c r="AJ135" i="43" s="1"/>
  <c r="AK135" i="43" s="1"/>
  <c r="AL135" i="43" s="1"/>
  <c r="AI136" i="43"/>
  <c r="AJ136" i="43" s="1"/>
  <c r="AK136" i="43" s="1"/>
  <c r="AL136" i="43" s="1"/>
  <c r="AI137" i="43"/>
  <c r="AJ137" i="43" s="1"/>
  <c r="AK137" i="43" s="1"/>
  <c r="AL137" i="43" s="1"/>
  <c r="AI138" i="43"/>
  <c r="AJ138" i="43" s="1"/>
  <c r="AK138" i="43" s="1"/>
  <c r="AL138" i="43" s="1"/>
  <c r="AI139" i="43"/>
  <c r="AJ139" i="43" s="1"/>
  <c r="AK139" i="43" s="1"/>
  <c r="AL139" i="43" s="1"/>
  <c r="AI17" i="43"/>
  <c r="AJ17" i="43" s="1"/>
  <c r="AK17" i="43" s="1"/>
  <c r="AL17" i="43" s="1"/>
  <c r="V19" i="43"/>
  <c r="W19" i="43" s="1"/>
  <c r="X19" i="43" s="1"/>
  <c r="Y19" i="43" s="1"/>
  <c r="Z19" i="43" s="1"/>
  <c r="V23" i="43"/>
  <c r="W23" i="43" s="1"/>
  <c r="X23" i="43" s="1"/>
  <c r="Y23" i="43" s="1"/>
  <c r="Z23" i="43" s="1"/>
  <c r="V25" i="43"/>
  <c r="W25" i="43" s="1"/>
  <c r="X25" i="43" s="1"/>
  <c r="Y25" i="43" s="1"/>
  <c r="Z25" i="43" s="1"/>
  <c r="V29" i="43"/>
  <c r="W29" i="43" s="1"/>
  <c r="X29" i="43" s="1"/>
  <c r="Y29" i="43" s="1"/>
  <c r="Z29" i="43" s="1"/>
  <c r="V31" i="43"/>
  <c r="W31" i="43" s="1"/>
  <c r="X31" i="43" s="1"/>
  <c r="Y31" i="43" s="1"/>
  <c r="Z31" i="43" s="1"/>
  <c r="V35" i="43"/>
  <c r="W35" i="43" s="1"/>
  <c r="X35" i="43" s="1"/>
  <c r="Y35" i="43" s="1"/>
  <c r="Z35" i="43" s="1"/>
  <c r="V39" i="43"/>
  <c r="W39" i="43" s="1"/>
  <c r="X39" i="43" s="1"/>
  <c r="Y39" i="43" s="1"/>
  <c r="Z39" i="43" s="1"/>
  <c r="V41" i="43"/>
  <c r="W41" i="43" s="1"/>
  <c r="X41" i="43" s="1"/>
  <c r="Y41" i="43" s="1"/>
  <c r="Z41" i="43" s="1"/>
  <c r="V43" i="43"/>
  <c r="W43" i="43" s="1"/>
  <c r="X43" i="43" s="1"/>
  <c r="Y43" i="43" s="1"/>
  <c r="Z43" i="43" s="1"/>
  <c r="V45" i="43"/>
  <c r="W45" i="43" s="1"/>
  <c r="X45" i="43" s="1"/>
  <c r="Y45" i="43" s="1"/>
  <c r="Z45" i="43" s="1"/>
  <c r="V52" i="43"/>
  <c r="W52" i="43" s="1"/>
  <c r="X52" i="43" s="1"/>
  <c r="Y52" i="43" s="1"/>
  <c r="Z52" i="43" s="1"/>
  <c r="V57" i="43"/>
  <c r="W57" i="43" s="1"/>
  <c r="X57" i="43" s="1"/>
  <c r="Y57" i="43" s="1"/>
  <c r="Z57" i="43" s="1"/>
  <c r="V64" i="43"/>
  <c r="W64" i="43" s="1"/>
  <c r="X64" i="43" s="1"/>
  <c r="Y64" i="43" s="1"/>
  <c r="Z64" i="43" s="1"/>
  <c r="V68" i="43"/>
  <c r="W68" i="43" s="1"/>
  <c r="X68" i="43" s="1"/>
  <c r="Y68" i="43" s="1"/>
  <c r="Z68" i="43" s="1"/>
  <c r="V73" i="43"/>
  <c r="W73" i="43" s="1"/>
  <c r="X73" i="43" s="1"/>
  <c r="Y73" i="43" s="1"/>
  <c r="Z73" i="43" s="1"/>
  <c r="V75" i="43"/>
  <c r="W75" i="43" s="1"/>
  <c r="X75" i="43" s="1"/>
  <c r="Y75" i="43" s="1"/>
  <c r="Z75" i="43" s="1"/>
  <c r="V76" i="43"/>
  <c r="W76" i="43" s="1"/>
  <c r="X76" i="43" s="1"/>
  <c r="Y76" i="43" s="1"/>
  <c r="Z76" i="43" s="1"/>
  <c r="V78" i="43"/>
  <c r="W78" i="43" s="1"/>
  <c r="X78" i="43" s="1"/>
  <c r="Y78" i="43" s="1"/>
  <c r="Z78" i="43" s="1"/>
  <c r="V79" i="43"/>
  <c r="W79" i="43" s="1"/>
  <c r="X79" i="43" s="1"/>
  <c r="Y79" i="43" s="1"/>
  <c r="Z79" i="43" s="1"/>
  <c r="V80" i="43"/>
  <c r="W80" i="43" s="1"/>
  <c r="X80" i="43" s="1"/>
  <c r="Y80" i="43" s="1"/>
  <c r="Z80" i="43" s="1"/>
  <c r="V81" i="43"/>
  <c r="W81" i="43" s="1"/>
  <c r="X81" i="43" s="1"/>
  <c r="Y81" i="43" s="1"/>
  <c r="Z81" i="43" s="1"/>
  <c r="V89" i="43"/>
  <c r="W89" i="43" s="1"/>
  <c r="X89" i="43" s="1"/>
  <c r="Y89" i="43" s="1"/>
  <c r="Z89" i="43" s="1"/>
  <c r="V90" i="43"/>
  <c r="W90" i="43" s="1"/>
  <c r="X90" i="43" s="1"/>
  <c r="Y90" i="43" s="1"/>
  <c r="Z90" i="43" s="1"/>
  <c r="V92" i="43"/>
  <c r="W92" i="43" s="1"/>
  <c r="X92" i="43" s="1"/>
  <c r="Y92" i="43" s="1"/>
  <c r="Z92" i="43" s="1"/>
  <c r="V95" i="43"/>
  <c r="W95" i="43" s="1"/>
  <c r="X95" i="43" s="1"/>
  <c r="Y95" i="43" s="1"/>
  <c r="Z95" i="43" s="1"/>
  <c r="V97" i="43"/>
  <c r="W97" i="43" s="1"/>
  <c r="X97" i="43" s="1"/>
  <c r="Y97" i="43" s="1"/>
  <c r="Z97" i="43" s="1"/>
  <c r="V109" i="43"/>
  <c r="W109" i="43" s="1"/>
  <c r="X109" i="43" s="1"/>
  <c r="Y109" i="43" s="1"/>
  <c r="Z109" i="43" s="1"/>
  <c r="V113" i="43"/>
  <c r="W113" i="43" s="1"/>
  <c r="X113" i="43" s="1"/>
  <c r="Y113" i="43" s="1"/>
  <c r="Z113" i="43" s="1"/>
  <c r="V125" i="43"/>
  <c r="W125" i="43" s="1"/>
  <c r="X125" i="43" s="1"/>
  <c r="Y125" i="43" s="1"/>
  <c r="Z125" i="43" s="1"/>
  <c r="C5" i="28"/>
  <c r="D48" i="13"/>
  <c r="D80" i="13" s="1"/>
  <c r="D112" i="13" s="1"/>
  <c r="E48" i="13"/>
  <c r="F48" i="13"/>
  <c r="F80" i="13" s="1"/>
  <c r="F112" i="13" s="1"/>
  <c r="F144" i="13" s="1"/>
  <c r="F176" i="13" s="1"/>
  <c r="F208" i="13" s="1"/>
  <c r="F240" i="13" s="1"/>
  <c r="F272" i="13" s="1"/>
  <c r="G48" i="13"/>
  <c r="H48" i="13"/>
  <c r="H80" i="13" s="1"/>
  <c r="H112" i="13" s="1"/>
  <c r="H144" i="13" s="1"/>
  <c r="H176" i="13" s="1"/>
  <c r="H208" i="13" s="1"/>
  <c r="H240" i="13" s="1"/>
  <c r="H272" i="13" s="1"/>
  <c r="I48" i="13"/>
  <c r="I80" i="13" s="1"/>
  <c r="K48" i="13"/>
  <c r="D49" i="13"/>
  <c r="D81" i="13" s="1"/>
  <c r="D113" i="13" s="1"/>
  <c r="D145" i="13" s="1"/>
  <c r="D177" i="13" s="1"/>
  <c r="D209" i="13" s="1"/>
  <c r="D241" i="13" s="1"/>
  <c r="D273" i="13" s="1"/>
  <c r="E49" i="13"/>
  <c r="F49" i="13"/>
  <c r="F81" i="13" s="1"/>
  <c r="F113" i="13" s="1"/>
  <c r="G49" i="13"/>
  <c r="H49" i="13"/>
  <c r="H81" i="13" s="1"/>
  <c r="H113" i="13" s="1"/>
  <c r="H145" i="13" s="1"/>
  <c r="H177" i="13" s="1"/>
  <c r="H209" i="13" s="1"/>
  <c r="H241" i="13" s="1"/>
  <c r="H273" i="13" s="1"/>
  <c r="I49" i="13"/>
  <c r="K49" i="13"/>
  <c r="D50" i="13"/>
  <c r="D82" i="13" s="1"/>
  <c r="D114" i="13" s="1"/>
  <c r="D146" i="13" s="1"/>
  <c r="D178" i="13" s="1"/>
  <c r="D210" i="13" s="1"/>
  <c r="D242" i="13" s="1"/>
  <c r="D274" i="13" s="1"/>
  <c r="E50" i="13"/>
  <c r="J50" i="13" s="1"/>
  <c r="F50" i="13"/>
  <c r="F82" i="13" s="1"/>
  <c r="F114" i="13" s="1"/>
  <c r="F146" i="13" s="1"/>
  <c r="F178" i="13" s="1"/>
  <c r="F210" i="13" s="1"/>
  <c r="F242" i="13" s="1"/>
  <c r="F274" i="13" s="1"/>
  <c r="G50" i="13"/>
  <c r="H50" i="13"/>
  <c r="H82" i="13" s="1"/>
  <c r="H114" i="13" s="1"/>
  <c r="H146" i="13" s="1"/>
  <c r="H178" i="13" s="1"/>
  <c r="H210" i="13" s="1"/>
  <c r="H242" i="13" s="1"/>
  <c r="H274" i="13" s="1"/>
  <c r="I50" i="13"/>
  <c r="K50" i="13"/>
  <c r="D51" i="13"/>
  <c r="D83" i="13" s="1"/>
  <c r="D115" i="13" s="1"/>
  <c r="D147" i="13" s="1"/>
  <c r="D179" i="13" s="1"/>
  <c r="D211" i="13" s="1"/>
  <c r="D243" i="13" s="1"/>
  <c r="D275" i="13" s="1"/>
  <c r="E51" i="13"/>
  <c r="F51" i="13"/>
  <c r="F83" i="13" s="1"/>
  <c r="F115" i="13" s="1"/>
  <c r="F147" i="13" s="1"/>
  <c r="F179" i="13" s="1"/>
  <c r="F211" i="13" s="1"/>
  <c r="F243" i="13" s="1"/>
  <c r="F275" i="13" s="1"/>
  <c r="G51" i="13"/>
  <c r="H51" i="13"/>
  <c r="H83" i="13" s="1"/>
  <c r="H115" i="13" s="1"/>
  <c r="H147" i="13" s="1"/>
  <c r="H179" i="13" s="1"/>
  <c r="H211" i="13" s="1"/>
  <c r="H243" i="13" s="1"/>
  <c r="H275" i="13" s="1"/>
  <c r="I51" i="13"/>
  <c r="K51" i="13"/>
  <c r="D52" i="13"/>
  <c r="D84" i="13" s="1"/>
  <c r="D116" i="13" s="1"/>
  <c r="E52" i="13"/>
  <c r="J52" i="13" s="1"/>
  <c r="F52" i="13"/>
  <c r="F84" i="13" s="1"/>
  <c r="F116" i="13" s="1"/>
  <c r="F148" i="13" s="1"/>
  <c r="F180" i="13" s="1"/>
  <c r="F212" i="13" s="1"/>
  <c r="F244" i="13" s="1"/>
  <c r="F276" i="13" s="1"/>
  <c r="G52" i="13"/>
  <c r="H52" i="13"/>
  <c r="H84" i="13" s="1"/>
  <c r="H116" i="13" s="1"/>
  <c r="H148" i="13" s="1"/>
  <c r="H180" i="13" s="1"/>
  <c r="H212" i="13" s="1"/>
  <c r="H244" i="13" s="1"/>
  <c r="H276" i="13" s="1"/>
  <c r="I52" i="13"/>
  <c r="AB52" i="13" s="1"/>
  <c r="K52" i="13"/>
  <c r="D53" i="13"/>
  <c r="D85" i="13" s="1"/>
  <c r="D117" i="13" s="1"/>
  <c r="D149" i="13" s="1"/>
  <c r="E53" i="13"/>
  <c r="F53" i="13"/>
  <c r="F85" i="13" s="1"/>
  <c r="F117" i="13" s="1"/>
  <c r="F149" i="13" s="1"/>
  <c r="F181" i="13" s="1"/>
  <c r="F213" i="13" s="1"/>
  <c r="F245" i="13" s="1"/>
  <c r="F277" i="13" s="1"/>
  <c r="G53" i="13"/>
  <c r="H53" i="13"/>
  <c r="H85" i="13" s="1"/>
  <c r="H117" i="13" s="1"/>
  <c r="H149" i="13" s="1"/>
  <c r="H181" i="13" s="1"/>
  <c r="H213" i="13" s="1"/>
  <c r="H245" i="13" s="1"/>
  <c r="H277" i="13" s="1"/>
  <c r="I53" i="13"/>
  <c r="K53" i="13"/>
  <c r="D54" i="13"/>
  <c r="D86" i="13" s="1"/>
  <c r="D118" i="13" s="1"/>
  <c r="E54" i="13"/>
  <c r="J54" i="13" s="1"/>
  <c r="F54" i="13"/>
  <c r="F86" i="13" s="1"/>
  <c r="F118" i="13" s="1"/>
  <c r="F150" i="13" s="1"/>
  <c r="F182" i="13" s="1"/>
  <c r="F214" i="13" s="1"/>
  <c r="F246" i="13" s="1"/>
  <c r="F278" i="13" s="1"/>
  <c r="G54" i="13"/>
  <c r="H54" i="13"/>
  <c r="H86" i="13" s="1"/>
  <c r="H118" i="13" s="1"/>
  <c r="I54" i="13"/>
  <c r="K54" i="13"/>
  <c r="D55" i="13"/>
  <c r="D87" i="13" s="1"/>
  <c r="D119" i="13" s="1"/>
  <c r="D151" i="13" s="1"/>
  <c r="D183" i="13" s="1"/>
  <c r="D215" i="13" s="1"/>
  <c r="D247" i="13" s="1"/>
  <c r="D279" i="13" s="1"/>
  <c r="E55" i="13"/>
  <c r="F55" i="13"/>
  <c r="F87" i="13" s="1"/>
  <c r="F119" i="13" s="1"/>
  <c r="F151" i="13" s="1"/>
  <c r="F183" i="13" s="1"/>
  <c r="F215" i="13" s="1"/>
  <c r="F247" i="13" s="1"/>
  <c r="F279" i="13" s="1"/>
  <c r="G55" i="13"/>
  <c r="H55" i="13"/>
  <c r="H87" i="13" s="1"/>
  <c r="H119" i="13" s="1"/>
  <c r="H151" i="13" s="1"/>
  <c r="H183" i="13" s="1"/>
  <c r="H215" i="13" s="1"/>
  <c r="H247" i="13" s="1"/>
  <c r="H279" i="13" s="1"/>
  <c r="I55" i="13"/>
  <c r="K55" i="13"/>
  <c r="D56" i="13"/>
  <c r="D88" i="13" s="1"/>
  <c r="D120" i="13" s="1"/>
  <c r="D152" i="13" s="1"/>
  <c r="D184" i="13" s="1"/>
  <c r="D216" i="13" s="1"/>
  <c r="D248" i="13" s="1"/>
  <c r="D280" i="13" s="1"/>
  <c r="E56" i="13"/>
  <c r="F56" i="13"/>
  <c r="F88" i="13" s="1"/>
  <c r="F120" i="13" s="1"/>
  <c r="G56" i="13"/>
  <c r="G88" i="13"/>
  <c r="G120" i="13" s="1"/>
  <c r="H56" i="13"/>
  <c r="H88" i="13" s="1"/>
  <c r="H120" i="13" s="1"/>
  <c r="I56" i="13"/>
  <c r="K56" i="13"/>
  <c r="K88" i="13" s="1"/>
  <c r="K120" i="13"/>
  <c r="K152" i="13" s="1"/>
  <c r="D57" i="13"/>
  <c r="D89" i="13" s="1"/>
  <c r="D121" i="13" s="1"/>
  <c r="D153" i="13" s="1"/>
  <c r="E57" i="13"/>
  <c r="F57" i="13"/>
  <c r="F89" i="13" s="1"/>
  <c r="F121" i="13" s="1"/>
  <c r="F153" i="13" s="1"/>
  <c r="F185" i="13" s="1"/>
  <c r="F217" i="13" s="1"/>
  <c r="F249" i="13" s="1"/>
  <c r="F281" i="13" s="1"/>
  <c r="G57" i="13"/>
  <c r="G89" i="13" s="1"/>
  <c r="G121" i="13" s="1"/>
  <c r="H57" i="13"/>
  <c r="H89" i="13" s="1"/>
  <c r="H121" i="13" s="1"/>
  <c r="H153" i="13" s="1"/>
  <c r="H185" i="13" s="1"/>
  <c r="H217" i="13" s="1"/>
  <c r="H249" i="13" s="1"/>
  <c r="H281" i="13" s="1"/>
  <c r="I57" i="13"/>
  <c r="K57" i="13"/>
  <c r="K89" i="13" s="1"/>
  <c r="D58" i="13"/>
  <c r="D90" i="13" s="1"/>
  <c r="D122" i="13" s="1"/>
  <c r="D154" i="13" s="1"/>
  <c r="D186" i="13" s="1"/>
  <c r="D218" i="13" s="1"/>
  <c r="D250" i="13" s="1"/>
  <c r="D282" i="13" s="1"/>
  <c r="E58" i="13"/>
  <c r="F58" i="13"/>
  <c r="F90" i="13" s="1"/>
  <c r="F122" i="13" s="1"/>
  <c r="F154" i="13" s="1"/>
  <c r="F186" i="13" s="1"/>
  <c r="F218" i="13" s="1"/>
  <c r="F250" i="13" s="1"/>
  <c r="F282" i="13" s="1"/>
  <c r="G58" i="13"/>
  <c r="G90" i="13" s="1"/>
  <c r="G122" i="13" s="1"/>
  <c r="H58" i="13"/>
  <c r="H90" i="13" s="1"/>
  <c r="H122" i="13" s="1"/>
  <c r="H154" i="13" s="1"/>
  <c r="H186" i="13" s="1"/>
  <c r="H218" i="13" s="1"/>
  <c r="H250" i="13" s="1"/>
  <c r="H282" i="13" s="1"/>
  <c r="I58" i="13"/>
  <c r="K58" i="13"/>
  <c r="K90" i="13" s="1"/>
  <c r="K122" i="13" s="1"/>
  <c r="D59" i="13"/>
  <c r="D91" i="13" s="1"/>
  <c r="D123" i="13" s="1"/>
  <c r="D155" i="13" s="1"/>
  <c r="D187" i="13" s="1"/>
  <c r="D219" i="13" s="1"/>
  <c r="D251" i="13" s="1"/>
  <c r="D283" i="13" s="1"/>
  <c r="E59" i="13"/>
  <c r="F59" i="13"/>
  <c r="F91" i="13" s="1"/>
  <c r="F123" i="13" s="1"/>
  <c r="F155" i="13" s="1"/>
  <c r="F187" i="13" s="1"/>
  <c r="F219" i="13" s="1"/>
  <c r="F251" i="13" s="1"/>
  <c r="F283" i="13" s="1"/>
  <c r="G59" i="13"/>
  <c r="G91" i="13" s="1"/>
  <c r="G123" i="13" s="1"/>
  <c r="H59" i="13"/>
  <c r="H91" i="13" s="1"/>
  <c r="H123" i="13" s="1"/>
  <c r="I59" i="13"/>
  <c r="K59" i="13"/>
  <c r="K91" i="13" s="1"/>
  <c r="D60" i="13"/>
  <c r="D92" i="13" s="1"/>
  <c r="D124" i="13" s="1"/>
  <c r="E60" i="13"/>
  <c r="F60" i="13"/>
  <c r="F92" i="13" s="1"/>
  <c r="F124" i="13" s="1"/>
  <c r="F156" i="13" s="1"/>
  <c r="F188" i="13" s="1"/>
  <c r="F220" i="13" s="1"/>
  <c r="F252" i="13" s="1"/>
  <c r="F284" i="13" s="1"/>
  <c r="G60" i="13"/>
  <c r="G92" i="13" s="1"/>
  <c r="H60" i="13"/>
  <c r="H92" i="13" s="1"/>
  <c r="H124" i="13" s="1"/>
  <c r="H156" i="13" s="1"/>
  <c r="H188" i="13" s="1"/>
  <c r="H220" i="13" s="1"/>
  <c r="H252" i="13" s="1"/>
  <c r="H284" i="13" s="1"/>
  <c r="I60" i="13"/>
  <c r="K60" i="13"/>
  <c r="K92" i="13" s="1"/>
  <c r="K124" i="13" s="1"/>
  <c r="D61" i="13"/>
  <c r="D93" i="13" s="1"/>
  <c r="D125" i="13" s="1"/>
  <c r="D157" i="13" s="1"/>
  <c r="D189" i="13" s="1"/>
  <c r="D221" i="13" s="1"/>
  <c r="D253" i="13" s="1"/>
  <c r="D285" i="13" s="1"/>
  <c r="E61" i="13"/>
  <c r="F61" i="13"/>
  <c r="F93" i="13" s="1"/>
  <c r="F125" i="13" s="1"/>
  <c r="F157" i="13" s="1"/>
  <c r="F189" i="13" s="1"/>
  <c r="F221" i="13" s="1"/>
  <c r="F253" i="13" s="1"/>
  <c r="F285" i="13" s="1"/>
  <c r="G61" i="13"/>
  <c r="G93" i="13" s="1"/>
  <c r="G125" i="13" s="1"/>
  <c r="H61" i="13"/>
  <c r="H93" i="13" s="1"/>
  <c r="H125" i="13" s="1"/>
  <c r="H157" i="13" s="1"/>
  <c r="H189" i="13" s="1"/>
  <c r="H221" i="13" s="1"/>
  <c r="H253" i="13" s="1"/>
  <c r="H285" i="13" s="1"/>
  <c r="I61" i="13"/>
  <c r="K61" i="13"/>
  <c r="K93" i="13" s="1"/>
  <c r="K125" i="13" s="1"/>
  <c r="K157" i="13" s="1"/>
  <c r="K189" i="13" s="1"/>
  <c r="K221" i="13" s="1"/>
  <c r="K253" i="13" s="1"/>
  <c r="K285" i="13" s="1"/>
  <c r="D62" i="13"/>
  <c r="D94" i="13" s="1"/>
  <c r="D126" i="13" s="1"/>
  <c r="E62" i="13"/>
  <c r="F62" i="13"/>
  <c r="F94" i="13" s="1"/>
  <c r="F126" i="13" s="1"/>
  <c r="F158" i="13" s="1"/>
  <c r="F190" i="13" s="1"/>
  <c r="F222" i="13" s="1"/>
  <c r="F254" i="13" s="1"/>
  <c r="F286" i="13" s="1"/>
  <c r="G62" i="13"/>
  <c r="H62" i="13"/>
  <c r="H94" i="13" s="1"/>
  <c r="H126" i="13" s="1"/>
  <c r="H158" i="13" s="1"/>
  <c r="H190" i="13" s="1"/>
  <c r="H222" i="13" s="1"/>
  <c r="H254" i="13" s="1"/>
  <c r="H286" i="13" s="1"/>
  <c r="I62" i="13"/>
  <c r="K62" i="13"/>
  <c r="K94" i="13" s="1"/>
  <c r="D63" i="13"/>
  <c r="D95" i="13" s="1"/>
  <c r="D127" i="13" s="1"/>
  <c r="D159" i="13" s="1"/>
  <c r="D191" i="13" s="1"/>
  <c r="D223" i="13" s="1"/>
  <c r="D255" i="13" s="1"/>
  <c r="D287" i="13" s="1"/>
  <c r="E63" i="13"/>
  <c r="F63" i="13"/>
  <c r="F95" i="13" s="1"/>
  <c r="F127" i="13" s="1"/>
  <c r="F159" i="13" s="1"/>
  <c r="F191" i="13" s="1"/>
  <c r="F223" i="13" s="1"/>
  <c r="F255" i="13" s="1"/>
  <c r="F287" i="13" s="1"/>
  <c r="G63" i="13"/>
  <c r="G95" i="13" s="1"/>
  <c r="G127" i="13" s="1"/>
  <c r="H63" i="13"/>
  <c r="H95" i="13" s="1"/>
  <c r="H127" i="13" s="1"/>
  <c r="H159" i="13" s="1"/>
  <c r="H191" i="13" s="1"/>
  <c r="H223" i="13" s="1"/>
  <c r="H255" i="13" s="1"/>
  <c r="H287" i="13" s="1"/>
  <c r="I63" i="13"/>
  <c r="K63" i="13"/>
  <c r="K95" i="13" s="1"/>
  <c r="K127" i="13" s="1"/>
  <c r="K159" i="13" s="1"/>
  <c r="K191" i="13" s="1"/>
  <c r="K223" i="13" s="1"/>
  <c r="K255" i="13" s="1"/>
  <c r="K287" i="13" s="1"/>
  <c r="D64" i="13"/>
  <c r="D96" i="13" s="1"/>
  <c r="D128" i="13" s="1"/>
  <c r="D160" i="13" s="1"/>
  <c r="D192" i="13" s="1"/>
  <c r="D224" i="13" s="1"/>
  <c r="D256" i="13" s="1"/>
  <c r="D288" i="13" s="1"/>
  <c r="E64" i="13"/>
  <c r="F64" i="13"/>
  <c r="F96" i="13" s="1"/>
  <c r="F128" i="13" s="1"/>
  <c r="F160" i="13" s="1"/>
  <c r="G64" i="13"/>
  <c r="G96" i="13" s="1"/>
  <c r="H64" i="13"/>
  <c r="H96" i="13" s="1"/>
  <c r="H128" i="13" s="1"/>
  <c r="H160" i="13" s="1"/>
  <c r="H192" i="13" s="1"/>
  <c r="H224" i="13" s="1"/>
  <c r="H256" i="13" s="1"/>
  <c r="H288" i="13" s="1"/>
  <c r="I64" i="13"/>
  <c r="K64" i="13"/>
  <c r="K96" i="13" s="1"/>
  <c r="K128" i="13" s="1"/>
  <c r="K160" i="13" s="1"/>
  <c r="K192" i="13" s="1"/>
  <c r="K224" i="13" s="1"/>
  <c r="K256" i="13" s="1"/>
  <c r="K288" i="13" s="1"/>
  <c r="D65" i="13"/>
  <c r="D97" i="13" s="1"/>
  <c r="D129" i="13" s="1"/>
  <c r="E65" i="13"/>
  <c r="F65" i="13"/>
  <c r="F97" i="13" s="1"/>
  <c r="F129" i="13" s="1"/>
  <c r="F161" i="13" s="1"/>
  <c r="F193" i="13" s="1"/>
  <c r="F225" i="13" s="1"/>
  <c r="F257" i="13" s="1"/>
  <c r="F289" i="13" s="1"/>
  <c r="G65" i="13"/>
  <c r="G97" i="13" s="1"/>
  <c r="H65" i="13"/>
  <c r="H97" i="13" s="1"/>
  <c r="H129" i="13" s="1"/>
  <c r="H161" i="13" s="1"/>
  <c r="H193" i="13" s="1"/>
  <c r="H225" i="13" s="1"/>
  <c r="H257" i="13" s="1"/>
  <c r="H289" i="13" s="1"/>
  <c r="I65" i="13"/>
  <c r="K65" i="13"/>
  <c r="D66" i="13"/>
  <c r="D98" i="13" s="1"/>
  <c r="D130" i="13" s="1"/>
  <c r="E66" i="13"/>
  <c r="F66" i="13"/>
  <c r="F98" i="13" s="1"/>
  <c r="F130" i="13" s="1"/>
  <c r="G66" i="13"/>
  <c r="G98" i="13" s="1"/>
  <c r="H66" i="13"/>
  <c r="H98" i="13" s="1"/>
  <c r="H130" i="13" s="1"/>
  <c r="I66" i="13"/>
  <c r="K66" i="13"/>
  <c r="K98" i="13" s="1"/>
  <c r="K130" i="13" s="1"/>
  <c r="K162" i="13" s="1"/>
  <c r="K194" i="13" s="1"/>
  <c r="K226" i="13" s="1"/>
  <c r="K258" i="13" s="1"/>
  <c r="K290" i="13" s="1"/>
  <c r="K47" i="13"/>
  <c r="I47" i="13"/>
  <c r="H47" i="13"/>
  <c r="H79" i="13" s="1"/>
  <c r="H111" i="13" s="1"/>
  <c r="H143" i="13" s="1"/>
  <c r="H175" i="13" s="1"/>
  <c r="H207" i="13" s="1"/>
  <c r="H239" i="13" s="1"/>
  <c r="H271" i="13" s="1"/>
  <c r="G47" i="13"/>
  <c r="AK47" i="13" s="1"/>
  <c r="F47" i="13"/>
  <c r="F79" i="13" s="1"/>
  <c r="F111" i="13" s="1"/>
  <c r="F143" i="13" s="1"/>
  <c r="F175" i="13" s="1"/>
  <c r="F207" i="13" s="1"/>
  <c r="F239" i="13" s="1"/>
  <c r="F271" i="13" s="1"/>
  <c r="E47" i="13"/>
  <c r="D47" i="13"/>
  <c r="D79" i="13" s="1"/>
  <c r="D111" i="13" s="1"/>
  <c r="D143" i="13" s="1"/>
  <c r="D175" i="13" s="1"/>
  <c r="D207" i="13" s="1"/>
  <c r="D239" i="13" s="1"/>
  <c r="D271" i="13" s="1"/>
  <c r="E98" i="13"/>
  <c r="E94" i="13"/>
  <c r="E83" i="13"/>
  <c r="I96" i="13"/>
  <c r="I92" i="13"/>
  <c r="I87" i="13"/>
  <c r="I85" i="13"/>
  <c r="I98" i="13"/>
  <c r="E130" i="13"/>
  <c r="G97" i="49"/>
  <c r="G96" i="49"/>
  <c r="I48" i="39"/>
  <c r="J48" i="39" s="1"/>
  <c r="K48" i="39" s="1"/>
  <c r="L48" i="39" s="1"/>
  <c r="M48" i="39" s="1"/>
  <c r="N48" i="39" s="1"/>
  <c r="I49" i="39"/>
  <c r="J49" i="39" s="1"/>
  <c r="K49" i="39" s="1"/>
  <c r="L49" i="39" s="1"/>
  <c r="M49" i="39" s="1"/>
  <c r="N49" i="39" s="1"/>
  <c r="I50" i="39"/>
  <c r="J50" i="39" s="1"/>
  <c r="K50" i="39" s="1"/>
  <c r="L50" i="39" s="1"/>
  <c r="M50" i="39" s="1"/>
  <c r="N50" i="39" s="1"/>
  <c r="I51" i="39"/>
  <c r="J51" i="39" s="1"/>
  <c r="K51" i="39" s="1"/>
  <c r="L51" i="39" s="1"/>
  <c r="M51" i="39" s="1"/>
  <c r="N51" i="39" s="1"/>
  <c r="I52" i="39"/>
  <c r="J52" i="39" s="1"/>
  <c r="K52" i="39" s="1"/>
  <c r="L52" i="39" s="1"/>
  <c r="M52" i="39" s="1"/>
  <c r="N52" i="39" s="1"/>
  <c r="I53" i="39"/>
  <c r="J53" i="39" s="1"/>
  <c r="K53" i="39" s="1"/>
  <c r="L53" i="39" s="1"/>
  <c r="M53" i="39" s="1"/>
  <c r="N53" i="39" s="1"/>
  <c r="I44" i="39"/>
  <c r="J44" i="39" s="1"/>
  <c r="K44" i="39" s="1"/>
  <c r="L44" i="39" s="1"/>
  <c r="M44" i="39" s="1"/>
  <c r="N44" i="39" s="1"/>
  <c r="I40" i="39"/>
  <c r="J40" i="39" s="1"/>
  <c r="K40" i="39" s="1"/>
  <c r="L40" i="39" s="1"/>
  <c r="M40" i="39" s="1"/>
  <c r="N40" i="39" s="1"/>
  <c r="K150" i="35"/>
  <c r="K151" i="35"/>
  <c r="K152" i="35"/>
  <c r="K63" i="35"/>
  <c r="L63" i="35" s="1"/>
  <c r="M63" i="35" s="1"/>
  <c r="N63" i="35" s="1"/>
  <c r="O63" i="35" s="1"/>
  <c r="K64" i="35"/>
  <c r="L64" i="35" s="1"/>
  <c r="M64" i="35" s="1"/>
  <c r="N64" i="35" s="1"/>
  <c r="O64" i="35" s="1"/>
  <c r="K62" i="35"/>
  <c r="L62" i="35" s="1"/>
  <c r="M62" i="35" s="1"/>
  <c r="K56" i="35"/>
  <c r="L56" i="35" s="1"/>
  <c r="M56" i="35" s="1"/>
  <c r="N56" i="35" s="1"/>
  <c r="O56" i="35" s="1"/>
  <c r="K55" i="35"/>
  <c r="L55" i="35" s="1"/>
  <c r="M55" i="35" s="1"/>
  <c r="N55" i="35" s="1"/>
  <c r="O55" i="35" s="1"/>
  <c r="K42" i="35"/>
  <c r="L42" i="35" s="1"/>
  <c r="M42" i="35" s="1"/>
  <c r="N42" i="35" s="1"/>
  <c r="O42" i="35" s="1"/>
  <c r="K43" i="35"/>
  <c r="L43" i="35" s="1"/>
  <c r="M43" i="35" s="1"/>
  <c r="N43" i="35" s="1"/>
  <c r="O43" i="35" s="1"/>
  <c r="K44" i="35"/>
  <c r="L44" i="35" s="1"/>
  <c r="M44" i="35" s="1"/>
  <c r="N44" i="35" s="1"/>
  <c r="O44" i="35" s="1"/>
  <c r="K41" i="35"/>
  <c r="L41" i="35" s="1"/>
  <c r="M41" i="35" s="1"/>
  <c r="N41" i="35" s="1"/>
  <c r="O41" i="35" s="1"/>
  <c r="K23" i="35"/>
  <c r="L23" i="35" s="1"/>
  <c r="M23" i="35" s="1"/>
  <c r="N23" i="35" s="1"/>
  <c r="O23" i="35" s="1"/>
  <c r="K24" i="35"/>
  <c r="L24" i="35" s="1"/>
  <c r="M24" i="35" s="1"/>
  <c r="N24" i="35" s="1"/>
  <c r="O24" i="35" s="1"/>
  <c r="K25" i="35"/>
  <c r="L25" i="35" s="1"/>
  <c r="M25" i="35" s="1"/>
  <c r="N25" i="35" s="1"/>
  <c r="O25" i="35" s="1"/>
  <c r="K22" i="35"/>
  <c r="L22" i="35" s="1"/>
  <c r="K86" i="35"/>
  <c r="L86" i="35" s="1"/>
  <c r="M86" i="35" s="1"/>
  <c r="N86" i="35" s="1"/>
  <c r="O86" i="35" s="1"/>
  <c r="K87" i="35"/>
  <c r="L87" i="35" s="1"/>
  <c r="M87" i="35" s="1"/>
  <c r="N87" i="35" s="1"/>
  <c r="O87" i="35" s="1"/>
  <c r="K88" i="35"/>
  <c r="L88" i="35" s="1"/>
  <c r="M88" i="35" s="1"/>
  <c r="N88" i="35" s="1"/>
  <c r="O88" i="35" s="1"/>
  <c r="K89" i="35"/>
  <c r="L89" i="35" s="1"/>
  <c r="M89" i="35" s="1"/>
  <c r="N89" i="35" s="1"/>
  <c r="O89" i="35" s="1"/>
  <c r="K90" i="35"/>
  <c r="L90" i="35" s="1"/>
  <c r="M90" i="35" s="1"/>
  <c r="N90" i="35" s="1"/>
  <c r="O90" i="35" s="1"/>
  <c r="K85" i="35"/>
  <c r="I38" i="39"/>
  <c r="J38" i="39" s="1"/>
  <c r="K38" i="39" s="1"/>
  <c r="L38" i="39" s="1"/>
  <c r="M38" i="39" s="1"/>
  <c r="N38" i="39" s="1"/>
  <c r="I34" i="39"/>
  <c r="J34" i="39" s="1"/>
  <c r="K34" i="39" s="1"/>
  <c r="L34" i="39" s="1"/>
  <c r="M34" i="39" s="1"/>
  <c r="N34" i="39" s="1"/>
  <c r="I35" i="39"/>
  <c r="J35" i="39" s="1"/>
  <c r="K35" i="39" s="1"/>
  <c r="L35" i="39" s="1"/>
  <c r="M35" i="39" s="1"/>
  <c r="N35" i="39" s="1"/>
  <c r="K57" i="35"/>
  <c r="L57" i="35" s="1"/>
  <c r="D81" i="22"/>
  <c r="D9" i="22"/>
  <c r="N33" i="37"/>
  <c r="M33" i="37"/>
  <c r="N30" i="37"/>
  <c r="M30" i="37"/>
  <c r="N24" i="37"/>
  <c r="M24" i="37"/>
  <c r="N21" i="37"/>
  <c r="M21" i="37"/>
  <c r="K35" i="13"/>
  <c r="C5" i="1"/>
  <c r="C5" i="47" s="1"/>
  <c r="C61" i="47" s="1"/>
  <c r="E46" i="22"/>
  <c r="F46" i="22"/>
  <c r="F45" i="22"/>
  <c r="E45" i="22"/>
  <c r="Y10" i="43"/>
  <c r="Z10" i="43"/>
  <c r="R10" i="43"/>
  <c r="S10" i="43"/>
  <c r="E135" i="22"/>
  <c r="E136" i="22"/>
  <c r="E134" i="22"/>
  <c r="D135" i="22"/>
  <c r="G70" i="47" s="1"/>
  <c r="I70" i="47" s="1"/>
  <c r="D136" i="22"/>
  <c r="G71" i="47" s="1"/>
  <c r="I71" i="47" s="1"/>
  <c r="D134" i="22"/>
  <c r="G69" i="47" s="1"/>
  <c r="I69" i="47" s="1"/>
  <c r="O57" i="29"/>
  <c r="H52" i="29"/>
  <c r="I97" i="29"/>
  <c r="W97" i="29" s="1"/>
  <c r="P57" i="29"/>
  <c r="D62" i="22"/>
  <c r="D67" i="22"/>
  <c r="D84" i="22" s="1"/>
  <c r="K21" i="37"/>
  <c r="L21" i="37"/>
  <c r="K24" i="37"/>
  <c r="L24" i="37"/>
  <c r="K30" i="37"/>
  <c r="L30" i="37"/>
  <c r="K33" i="37"/>
  <c r="O112" i="35" s="1"/>
  <c r="L33" i="37"/>
  <c r="M8" i="48"/>
  <c r="N8" i="48"/>
  <c r="O221" i="35"/>
  <c r="N221" i="35"/>
  <c r="K8" i="44"/>
  <c r="L8" i="44"/>
  <c r="K12" i="44"/>
  <c r="L12" i="44"/>
  <c r="M9" i="24"/>
  <c r="M39" i="24" s="1"/>
  <c r="N9" i="24"/>
  <c r="N39" i="24" s="1"/>
  <c r="M14" i="24"/>
  <c r="N14" i="24"/>
  <c r="M27" i="24"/>
  <c r="N27" i="24"/>
  <c r="N18" i="31"/>
  <c r="N60" i="31" s="1"/>
  <c r="O18" i="31"/>
  <c r="O60" i="31" s="1"/>
  <c r="K15" i="1"/>
  <c r="J52" i="38" s="1"/>
  <c r="L15" i="1"/>
  <c r="K52" i="38" s="1"/>
  <c r="F147" i="24"/>
  <c r="F263" i="24" s="1"/>
  <c r="F148" i="24"/>
  <c r="F264" i="24" s="1"/>
  <c r="F146" i="24"/>
  <c r="F262" i="24" s="1"/>
  <c r="F144" i="24"/>
  <c r="F260" i="24" s="1"/>
  <c r="F145" i="24"/>
  <c r="F261" i="24" s="1"/>
  <c r="F143" i="24"/>
  <c r="F259" i="24" s="1"/>
  <c r="F141" i="24"/>
  <c r="F142" i="24"/>
  <c r="F258" i="24" s="1"/>
  <c r="F140" i="24"/>
  <c r="F256" i="24" s="1"/>
  <c r="F138" i="24"/>
  <c r="F254" i="24" s="1"/>
  <c r="F139" i="24"/>
  <c r="F255" i="24" s="1"/>
  <c r="F137" i="24"/>
  <c r="F253" i="24" s="1"/>
  <c r="F135" i="24"/>
  <c r="F251" i="24" s="1"/>
  <c r="F136" i="24"/>
  <c r="F252" i="24" s="1"/>
  <c r="F134" i="24"/>
  <c r="F250" i="24" s="1"/>
  <c r="D146" i="24"/>
  <c r="D262" i="24" s="1"/>
  <c r="D143" i="24"/>
  <c r="D259" i="24" s="1"/>
  <c r="D140" i="24"/>
  <c r="D256" i="24" s="1"/>
  <c r="D137" i="24"/>
  <c r="D253" i="24" s="1"/>
  <c r="D134" i="24"/>
  <c r="D250" i="24" s="1"/>
  <c r="F257" i="24"/>
  <c r="K239" i="31"/>
  <c r="L239" i="31" s="1"/>
  <c r="M239" i="31" s="1"/>
  <c r="N239" i="31" s="1"/>
  <c r="O239" i="31" s="1"/>
  <c r="I239" i="31"/>
  <c r="K234" i="31"/>
  <c r="L234" i="31" s="1"/>
  <c r="M234" i="31" s="1"/>
  <c r="N234" i="31" s="1"/>
  <c r="O234" i="31" s="1"/>
  <c r="I234" i="31"/>
  <c r="K229" i="31"/>
  <c r="L229" i="31" s="1"/>
  <c r="M229" i="31" s="1"/>
  <c r="N229" i="31" s="1"/>
  <c r="O229" i="31" s="1"/>
  <c r="I229" i="31"/>
  <c r="K224" i="31"/>
  <c r="L224" i="31" s="1"/>
  <c r="M224" i="31" s="1"/>
  <c r="N224" i="31" s="1"/>
  <c r="O224" i="31" s="1"/>
  <c r="I224" i="31"/>
  <c r="K219" i="31"/>
  <c r="L219" i="31" s="1"/>
  <c r="M219" i="31" s="1"/>
  <c r="N219" i="31" s="1"/>
  <c r="O219" i="31" s="1"/>
  <c r="I219" i="31"/>
  <c r="K217" i="31"/>
  <c r="K222" i="31"/>
  <c r="K238" i="31"/>
  <c r="K223" i="31"/>
  <c r="K231" i="31"/>
  <c r="K237" i="31"/>
  <c r="I26" i="31"/>
  <c r="I25" i="31"/>
  <c r="I24" i="31"/>
  <c r="I204" i="31"/>
  <c r="F39" i="1"/>
  <c r="C125" i="22"/>
  <c r="E4" i="22"/>
  <c r="F47" i="24"/>
  <c r="F48" i="24"/>
  <c r="F49" i="24"/>
  <c r="F50" i="24"/>
  <c r="F166" i="24" s="1"/>
  <c r="F51" i="24"/>
  <c r="F167" i="24" s="1"/>
  <c r="F52" i="24"/>
  <c r="F53" i="24"/>
  <c r="F54" i="24"/>
  <c r="F55" i="24"/>
  <c r="F171" i="24" s="1"/>
  <c r="F56" i="24"/>
  <c r="F57" i="24"/>
  <c r="F58" i="24"/>
  <c r="F174" i="24" s="1"/>
  <c r="F59" i="24"/>
  <c r="F60" i="24"/>
  <c r="F61" i="24"/>
  <c r="F62" i="24"/>
  <c r="F63" i="24"/>
  <c r="F179" i="24" s="1"/>
  <c r="F64" i="24"/>
  <c r="F65" i="24"/>
  <c r="F66" i="24"/>
  <c r="F67" i="24"/>
  <c r="F183" i="24" s="1"/>
  <c r="F68" i="24"/>
  <c r="F69" i="24"/>
  <c r="F70" i="24"/>
  <c r="F71" i="24"/>
  <c r="F187" i="24" s="1"/>
  <c r="F72" i="24"/>
  <c r="F73" i="24"/>
  <c r="F74" i="24"/>
  <c r="F75" i="24"/>
  <c r="F76" i="24"/>
  <c r="F77" i="24"/>
  <c r="F78" i="24"/>
  <c r="F79" i="24"/>
  <c r="F195" i="24" s="1"/>
  <c r="F80" i="24"/>
  <c r="F81" i="24"/>
  <c r="F82" i="24"/>
  <c r="F83" i="24"/>
  <c r="F199" i="24" s="1"/>
  <c r="F84" i="24"/>
  <c r="F85" i="24"/>
  <c r="F86" i="24"/>
  <c r="F87" i="24"/>
  <c r="F203" i="24" s="1"/>
  <c r="F88" i="24"/>
  <c r="F89" i="24"/>
  <c r="F90" i="24"/>
  <c r="F91" i="24"/>
  <c r="F207" i="24" s="1"/>
  <c r="F92" i="24"/>
  <c r="F93" i="24"/>
  <c r="F94" i="24"/>
  <c r="F95" i="24"/>
  <c r="F211" i="24" s="1"/>
  <c r="F96" i="24"/>
  <c r="F97" i="24"/>
  <c r="F98" i="24"/>
  <c r="F99" i="24"/>
  <c r="F100" i="24"/>
  <c r="F101" i="24"/>
  <c r="F102" i="24"/>
  <c r="F218" i="24" s="1"/>
  <c r="F103" i="24"/>
  <c r="F104" i="24"/>
  <c r="F105" i="24"/>
  <c r="F106" i="24"/>
  <c r="F107" i="24"/>
  <c r="F223" i="24" s="1"/>
  <c r="F108" i="24"/>
  <c r="F109" i="24"/>
  <c r="F110" i="24"/>
  <c r="F111" i="24"/>
  <c r="F227" i="24" s="1"/>
  <c r="F112" i="24"/>
  <c r="F113" i="24"/>
  <c r="F114" i="24"/>
  <c r="F230" i="24" s="1"/>
  <c r="F115" i="24"/>
  <c r="F116" i="24"/>
  <c r="F117" i="24"/>
  <c r="F118" i="24"/>
  <c r="F119" i="24"/>
  <c r="F235" i="24" s="1"/>
  <c r="F120" i="24"/>
  <c r="F121" i="24"/>
  <c r="F122" i="24"/>
  <c r="F123" i="24"/>
  <c r="F124" i="24"/>
  <c r="F125" i="24"/>
  <c r="F126" i="24"/>
  <c r="F242" i="24" s="1"/>
  <c r="F127" i="24"/>
  <c r="F243" i="24" s="1"/>
  <c r="F128" i="24"/>
  <c r="F129" i="24"/>
  <c r="F130" i="24"/>
  <c r="F131" i="24"/>
  <c r="F132" i="24"/>
  <c r="F133" i="24"/>
  <c r="K214" i="31"/>
  <c r="L214" i="31" s="1"/>
  <c r="M214" i="31" s="1"/>
  <c r="N214" i="31" s="1"/>
  <c r="O214" i="31" s="1"/>
  <c r="I214" i="31"/>
  <c r="K209" i="31"/>
  <c r="L209" i="31" s="1"/>
  <c r="M209" i="31" s="1"/>
  <c r="N209" i="31" s="1"/>
  <c r="O209" i="31" s="1"/>
  <c r="I209" i="31"/>
  <c r="K204" i="31"/>
  <c r="L204" i="31" s="1"/>
  <c r="M204" i="31" s="1"/>
  <c r="N204" i="31" s="1"/>
  <c r="O204" i="31" s="1"/>
  <c r="K199" i="31"/>
  <c r="L199" i="31" s="1"/>
  <c r="M199" i="31" s="1"/>
  <c r="N199" i="31" s="1"/>
  <c r="O199" i="31" s="1"/>
  <c r="I199" i="31"/>
  <c r="K194" i="31"/>
  <c r="L194" i="31" s="1"/>
  <c r="M194" i="31" s="1"/>
  <c r="N194" i="31" s="1"/>
  <c r="O194" i="31" s="1"/>
  <c r="I194" i="31"/>
  <c r="K189" i="31"/>
  <c r="L189" i="31" s="1"/>
  <c r="M189" i="31" s="1"/>
  <c r="N189" i="31" s="1"/>
  <c r="O189" i="31" s="1"/>
  <c r="I189" i="31"/>
  <c r="K184" i="31"/>
  <c r="L184" i="31" s="1"/>
  <c r="M184" i="31" s="1"/>
  <c r="N184" i="31" s="1"/>
  <c r="O184" i="31" s="1"/>
  <c r="I184" i="31"/>
  <c r="K179" i="31"/>
  <c r="L179" i="31" s="1"/>
  <c r="M179" i="31" s="1"/>
  <c r="N179" i="31" s="1"/>
  <c r="O179" i="31" s="1"/>
  <c r="I179" i="31"/>
  <c r="K174" i="31"/>
  <c r="L174" i="31" s="1"/>
  <c r="M174" i="31" s="1"/>
  <c r="N174" i="31" s="1"/>
  <c r="O174" i="31" s="1"/>
  <c r="I174" i="31"/>
  <c r="K169" i="31"/>
  <c r="L169" i="31" s="1"/>
  <c r="M169" i="31" s="1"/>
  <c r="N169" i="31" s="1"/>
  <c r="O169" i="31" s="1"/>
  <c r="I169" i="31"/>
  <c r="K164" i="31"/>
  <c r="L164" i="31" s="1"/>
  <c r="M164" i="31" s="1"/>
  <c r="N164" i="31" s="1"/>
  <c r="O164" i="31" s="1"/>
  <c r="I164" i="31"/>
  <c r="K159" i="31"/>
  <c r="L159" i="31" s="1"/>
  <c r="M159" i="31" s="1"/>
  <c r="N159" i="31" s="1"/>
  <c r="O159" i="31" s="1"/>
  <c r="I159" i="31"/>
  <c r="K154" i="31"/>
  <c r="L154" i="31" s="1"/>
  <c r="M154" i="31" s="1"/>
  <c r="N154" i="31" s="1"/>
  <c r="O154" i="31" s="1"/>
  <c r="I154" i="31"/>
  <c r="K149" i="31"/>
  <c r="L149" i="31" s="1"/>
  <c r="M149" i="31" s="1"/>
  <c r="N149" i="31" s="1"/>
  <c r="O149" i="31" s="1"/>
  <c r="I149" i="31"/>
  <c r="K144" i="31"/>
  <c r="L144" i="31" s="1"/>
  <c r="M144" i="31" s="1"/>
  <c r="N144" i="31" s="1"/>
  <c r="O144" i="31" s="1"/>
  <c r="I144" i="31"/>
  <c r="K139" i="31"/>
  <c r="L139" i="31" s="1"/>
  <c r="M139" i="31" s="1"/>
  <c r="N139" i="31" s="1"/>
  <c r="O139" i="31" s="1"/>
  <c r="I139" i="31"/>
  <c r="K134" i="31"/>
  <c r="L134" i="31" s="1"/>
  <c r="M134" i="31" s="1"/>
  <c r="N134" i="31" s="1"/>
  <c r="O134" i="31" s="1"/>
  <c r="I134" i="31"/>
  <c r="K129" i="31"/>
  <c r="L129" i="31" s="1"/>
  <c r="M129" i="31" s="1"/>
  <c r="N129" i="31" s="1"/>
  <c r="O129" i="31" s="1"/>
  <c r="I129" i="31"/>
  <c r="K124" i="31"/>
  <c r="I124" i="31"/>
  <c r="K119" i="31"/>
  <c r="L119" i="31" s="1"/>
  <c r="M119" i="31" s="1"/>
  <c r="N119" i="31" s="1"/>
  <c r="O119" i="31" s="1"/>
  <c r="I119" i="31"/>
  <c r="K114" i="31"/>
  <c r="L114" i="31" s="1"/>
  <c r="I114" i="31"/>
  <c r="J8" i="44"/>
  <c r="I8" i="44"/>
  <c r="H8" i="44"/>
  <c r="G8" i="44"/>
  <c r="E38" i="22"/>
  <c r="D38" i="22"/>
  <c r="F74" i="22"/>
  <c r="D74" i="22"/>
  <c r="G12" i="44"/>
  <c r="H12" i="44"/>
  <c r="I12" i="44"/>
  <c r="J12" i="44"/>
  <c r="I116" i="18"/>
  <c r="I240" i="18" s="1"/>
  <c r="I48" i="18"/>
  <c r="J48" i="18" s="1"/>
  <c r="I46" i="18"/>
  <c r="J46" i="18" s="1"/>
  <c r="K46" i="18" s="1"/>
  <c r="L46" i="18" s="1"/>
  <c r="M46" i="18" s="1"/>
  <c r="I47" i="18"/>
  <c r="J47" i="18" s="1"/>
  <c r="K47" i="18" s="1"/>
  <c r="L47" i="18" s="1"/>
  <c r="M47" i="18" s="1"/>
  <c r="I49" i="18"/>
  <c r="J49" i="18" s="1"/>
  <c r="K49" i="18" s="1"/>
  <c r="D174" i="35"/>
  <c r="D175" i="35"/>
  <c r="D176" i="35"/>
  <c r="D177" i="35"/>
  <c r="D178" i="35"/>
  <c r="D179" i="35"/>
  <c r="D180" i="35"/>
  <c r="D181" i="35"/>
  <c r="D182" i="35"/>
  <c r="D173" i="35"/>
  <c r="G79" i="22"/>
  <c r="I150" i="18"/>
  <c r="J150" i="18" s="1"/>
  <c r="K150" i="18" s="1"/>
  <c r="L150" i="18" s="1"/>
  <c r="M150" i="18" s="1"/>
  <c r="I151" i="18"/>
  <c r="J151" i="18" s="1"/>
  <c r="K151" i="18" s="1"/>
  <c r="L151" i="18" s="1"/>
  <c r="M151" i="18" s="1"/>
  <c r="I152" i="18"/>
  <c r="J152" i="18" s="1"/>
  <c r="K152" i="18" s="1"/>
  <c r="L152" i="18" s="1"/>
  <c r="M152" i="18" s="1"/>
  <c r="I153" i="18"/>
  <c r="J153" i="18" s="1"/>
  <c r="K153" i="18" s="1"/>
  <c r="L153" i="18" s="1"/>
  <c r="M153" i="18" s="1"/>
  <c r="I154" i="18"/>
  <c r="J154" i="18" s="1"/>
  <c r="K154" i="18" s="1"/>
  <c r="L154" i="18" s="1"/>
  <c r="M154" i="18" s="1"/>
  <c r="I156" i="18"/>
  <c r="J156" i="18" s="1"/>
  <c r="K156" i="18" s="1"/>
  <c r="L156" i="18" s="1"/>
  <c r="M156" i="18" s="1"/>
  <c r="I157" i="18"/>
  <c r="J157" i="18" s="1"/>
  <c r="K157" i="18" s="1"/>
  <c r="L157" i="18" s="1"/>
  <c r="M157" i="18" s="1"/>
  <c r="I158" i="18"/>
  <c r="J158" i="18" s="1"/>
  <c r="K158" i="18" s="1"/>
  <c r="L158" i="18" s="1"/>
  <c r="M158" i="18" s="1"/>
  <c r="I159" i="18"/>
  <c r="J159" i="18" s="1"/>
  <c r="K159" i="18" s="1"/>
  <c r="L159" i="18" s="1"/>
  <c r="M159" i="18" s="1"/>
  <c r="I160" i="18"/>
  <c r="J160" i="18" s="1"/>
  <c r="K160" i="18" s="1"/>
  <c r="L160" i="18" s="1"/>
  <c r="M160" i="18" s="1"/>
  <c r="I178" i="18"/>
  <c r="J178" i="18" s="1"/>
  <c r="K178" i="18" s="1"/>
  <c r="L178" i="18" s="1"/>
  <c r="M178" i="18" s="1"/>
  <c r="I180" i="18"/>
  <c r="J180" i="18" s="1"/>
  <c r="K180" i="18" s="1"/>
  <c r="L180" i="18" s="1"/>
  <c r="M180" i="18" s="1"/>
  <c r="I181" i="18"/>
  <c r="J181" i="18" s="1"/>
  <c r="K181" i="18" s="1"/>
  <c r="L181" i="18" s="1"/>
  <c r="M181" i="18" s="1"/>
  <c r="I182" i="18"/>
  <c r="J182" i="18" s="1"/>
  <c r="K182" i="18" s="1"/>
  <c r="L182" i="18" s="1"/>
  <c r="M182" i="18" s="1"/>
  <c r="I183" i="18"/>
  <c r="J183" i="18" s="1"/>
  <c r="K183" i="18" s="1"/>
  <c r="L183" i="18" s="1"/>
  <c r="M183" i="18" s="1"/>
  <c r="I184" i="18"/>
  <c r="J184" i="18" s="1"/>
  <c r="K184" i="18" s="1"/>
  <c r="L184" i="18" s="1"/>
  <c r="M184" i="18" s="1"/>
  <c r="I185" i="18"/>
  <c r="J185" i="18" s="1"/>
  <c r="K185" i="18" s="1"/>
  <c r="L185" i="18" s="1"/>
  <c r="M185" i="18" s="1"/>
  <c r="I188" i="18"/>
  <c r="J188" i="18" s="1"/>
  <c r="K188" i="18" s="1"/>
  <c r="L188" i="18" s="1"/>
  <c r="M188" i="18" s="1"/>
  <c r="I189" i="18"/>
  <c r="J189" i="18" s="1"/>
  <c r="K189" i="18" s="1"/>
  <c r="L189" i="18" s="1"/>
  <c r="M189" i="18" s="1"/>
  <c r="I190" i="18"/>
  <c r="J190" i="18" s="1"/>
  <c r="K190" i="18" s="1"/>
  <c r="L190" i="18" s="1"/>
  <c r="M190" i="18" s="1"/>
  <c r="K128" i="35"/>
  <c r="L128" i="35" s="1"/>
  <c r="M128" i="35" s="1"/>
  <c r="N128" i="35" s="1"/>
  <c r="O128" i="35" s="1"/>
  <c r="K129" i="35"/>
  <c r="K130" i="35"/>
  <c r="L130" i="35" s="1"/>
  <c r="M130" i="35" s="1"/>
  <c r="N130" i="35" s="1"/>
  <c r="O130" i="35" s="1"/>
  <c r="F30" i="37"/>
  <c r="J109" i="35" s="1"/>
  <c r="F33" i="37"/>
  <c r="J112" i="35" s="1"/>
  <c r="G30" i="37"/>
  <c r="K109" i="35" s="1"/>
  <c r="G33" i="37"/>
  <c r="K112" i="35" s="1"/>
  <c r="I8" i="48"/>
  <c r="J8" i="48"/>
  <c r="K8" i="48"/>
  <c r="L8" i="48"/>
  <c r="H8" i="48"/>
  <c r="K161" i="35"/>
  <c r="L161" i="35" s="1"/>
  <c r="M161" i="35" s="1"/>
  <c r="N161" i="35" s="1"/>
  <c r="O161" i="35" s="1"/>
  <c r="K162" i="35"/>
  <c r="L162" i="35" s="1"/>
  <c r="M162" i="35" s="1"/>
  <c r="N162" i="35" s="1"/>
  <c r="O162" i="35" s="1"/>
  <c r="K163" i="35"/>
  <c r="L163" i="35" s="1"/>
  <c r="M163" i="35" s="1"/>
  <c r="N163" i="35" s="1"/>
  <c r="O163" i="35" s="1"/>
  <c r="K164" i="35"/>
  <c r="L164" i="35" s="1"/>
  <c r="M164" i="35" s="1"/>
  <c r="N164" i="35" s="1"/>
  <c r="O164" i="35" s="1"/>
  <c r="K165" i="35"/>
  <c r="L165" i="35" s="1"/>
  <c r="M165" i="35" s="1"/>
  <c r="N165" i="35" s="1"/>
  <c r="O165" i="35" s="1"/>
  <c r="K166" i="35"/>
  <c r="L166" i="35" s="1"/>
  <c r="M166" i="35" s="1"/>
  <c r="N166" i="35" s="1"/>
  <c r="O166" i="35" s="1"/>
  <c r="K167" i="35"/>
  <c r="L167" i="35" s="1"/>
  <c r="M167" i="35" s="1"/>
  <c r="N167" i="35" s="1"/>
  <c r="O167" i="35" s="1"/>
  <c r="I9" i="24"/>
  <c r="I39" i="24" s="1"/>
  <c r="J9" i="24"/>
  <c r="J39" i="24" s="1"/>
  <c r="K9" i="24"/>
  <c r="K39" i="24" s="1"/>
  <c r="L9" i="24"/>
  <c r="L39" i="24" s="1"/>
  <c r="D131" i="24"/>
  <c r="D247" i="24" s="1"/>
  <c r="D128" i="24"/>
  <c r="D125" i="24"/>
  <c r="D241" i="24" s="1"/>
  <c r="D122" i="24"/>
  <c r="D119" i="24"/>
  <c r="D235" i="24" s="1"/>
  <c r="D116" i="24"/>
  <c r="D232" i="24" s="1"/>
  <c r="D113" i="24"/>
  <c r="D229" i="24" s="1"/>
  <c r="D110" i="24"/>
  <c r="D107" i="24"/>
  <c r="D223" i="24" s="1"/>
  <c r="D104" i="24"/>
  <c r="D220" i="24" s="1"/>
  <c r="D101" i="24"/>
  <c r="D217" i="24" s="1"/>
  <c r="D98" i="24"/>
  <c r="D95" i="24"/>
  <c r="D211" i="24" s="1"/>
  <c r="D92" i="24"/>
  <c r="D208" i="24" s="1"/>
  <c r="D89" i="24"/>
  <c r="D205" i="24" s="1"/>
  <c r="I84" i="18"/>
  <c r="I93" i="18"/>
  <c r="J93" i="18" s="1"/>
  <c r="K93" i="18" s="1"/>
  <c r="L93" i="18" s="1"/>
  <c r="M93" i="18" s="1"/>
  <c r="I120" i="18"/>
  <c r="J120" i="18" s="1"/>
  <c r="K120" i="18" s="1"/>
  <c r="L120" i="18" s="1"/>
  <c r="M120" i="18" s="1"/>
  <c r="I119" i="18"/>
  <c r="J119" i="18" s="1"/>
  <c r="K119" i="18" s="1"/>
  <c r="L119" i="18" s="1"/>
  <c r="M119" i="18" s="1"/>
  <c r="I118" i="18"/>
  <c r="J118" i="18" s="1"/>
  <c r="K118" i="18" s="1"/>
  <c r="L118" i="18" s="1"/>
  <c r="M118" i="18" s="1"/>
  <c r="I117" i="18"/>
  <c r="J117" i="18" s="1"/>
  <c r="K117" i="18" s="1"/>
  <c r="L117" i="18" s="1"/>
  <c r="M117" i="18" s="1"/>
  <c r="I95" i="18"/>
  <c r="J95" i="18" s="1"/>
  <c r="K95" i="18" s="1"/>
  <c r="L95" i="18" s="1"/>
  <c r="M95" i="18" s="1"/>
  <c r="I94" i="18"/>
  <c r="J94" i="18" s="1"/>
  <c r="K94" i="18" s="1"/>
  <c r="L94" i="18" s="1"/>
  <c r="M94" i="18" s="1"/>
  <c r="I92" i="18"/>
  <c r="I91" i="18"/>
  <c r="I27" i="24"/>
  <c r="J27" i="24"/>
  <c r="K27" i="24"/>
  <c r="L27" i="24"/>
  <c r="D86" i="24"/>
  <c r="D202" i="24" s="1"/>
  <c r="D83" i="24"/>
  <c r="D199" i="24" s="1"/>
  <c r="D80" i="24"/>
  <c r="D196" i="24" s="1"/>
  <c r="D77" i="24"/>
  <c r="D193" i="24" s="1"/>
  <c r="D74" i="24"/>
  <c r="D190" i="24" s="1"/>
  <c r="D71" i="24"/>
  <c r="D187" i="24" s="1"/>
  <c r="D68" i="24"/>
  <c r="D184" i="24" s="1"/>
  <c r="D65" i="24"/>
  <c r="D181" i="24" s="1"/>
  <c r="D62" i="24"/>
  <c r="D59" i="24"/>
  <c r="D175" i="24" s="1"/>
  <c r="D56" i="24"/>
  <c r="D172" i="24" s="1"/>
  <c r="D53" i="24"/>
  <c r="D169" i="24" s="1"/>
  <c r="D50" i="24"/>
  <c r="D166" i="24" s="1"/>
  <c r="D47" i="24"/>
  <c r="D163" i="24" s="1"/>
  <c r="D44" i="24"/>
  <c r="N10" i="43"/>
  <c r="O10" i="43"/>
  <c r="P10" i="43"/>
  <c r="Q10" i="43"/>
  <c r="U10" i="43"/>
  <c r="V10" i="43"/>
  <c r="W10" i="43"/>
  <c r="X10" i="43"/>
  <c r="V16" i="43"/>
  <c r="W16" i="43" s="1"/>
  <c r="X16" i="43" s="1"/>
  <c r="Y16" i="43" s="1"/>
  <c r="Z16" i="43" s="1"/>
  <c r="V17" i="43"/>
  <c r="W17" i="43" s="1"/>
  <c r="X17" i="43" s="1"/>
  <c r="Y17" i="43" s="1"/>
  <c r="Z17" i="43" s="1"/>
  <c r="V18" i="43"/>
  <c r="W18" i="43" s="1"/>
  <c r="X18" i="43" s="1"/>
  <c r="Y18" i="43" s="1"/>
  <c r="Z18" i="43" s="1"/>
  <c r="V20" i="43"/>
  <c r="W20" i="43" s="1"/>
  <c r="X20" i="43" s="1"/>
  <c r="Y20" i="43" s="1"/>
  <c r="Z20" i="43" s="1"/>
  <c r="V21" i="43"/>
  <c r="W21" i="43" s="1"/>
  <c r="X21" i="43" s="1"/>
  <c r="Y21" i="43" s="1"/>
  <c r="Z21" i="43" s="1"/>
  <c r="V22" i="43"/>
  <c r="W22" i="43" s="1"/>
  <c r="X22" i="43" s="1"/>
  <c r="Y22" i="43" s="1"/>
  <c r="Z22" i="43" s="1"/>
  <c r="V24" i="43"/>
  <c r="W24" i="43" s="1"/>
  <c r="X24" i="43" s="1"/>
  <c r="Y24" i="43" s="1"/>
  <c r="Z24" i="43" s="1"/>
  <c r="V26" i="43"/>
  <c r="W26" i="43" s="1"/>
  <c r="X26" i="43" s="1"/>
  <c r="Y26" i="43" s="1"/>
  <c r="Z26" i="43" s="1"/>
  <c r="V27" i="43"/>
  <c r="W27" i="43" s="1"/>
  <c r="X27" i="43" s="1"/>
  <c r="Y27" i="43" s="1"/>
  <c r="Z27" i="43" s="1"/>
  <c r="V28" i="43"/>
  <c r="W28" i="43" s="1"/>
  <c r="X28" i="43" s="1"/>
  <c r="Y28" i="43" s="1"/>
  <c r="Z28" i="43" s="1"/>
  <c r="V30" i="43"/>
  <c r="W30" i="43" s="1"/>
  <c r="X30" i="43" s="1"/>
  <c r="Y30" i="43" s="1"/>
  <c r="Z30" i="43" s="1"/>
  <c r="V32" i="43"/>
  <c r="W32" i="43" s="1"/>
  <c r="X32" i="43" s="1"/>
  <c r="Y32" i="43" s="1"/>
  <c r="Z32" i="43" s="1"/>
  <c r="V33" i="43"/>
  <c r="W33" i="43" s="1"/>
  <c r="X33" i="43" s="1"/>
  <c r="Y33" i="43" s="1"/>
  <c r="Z33" i="43" s="1"/>
  <c r="V34" i="43"/>
  <c r="W34" i="43" s="1"/>
  <c r="X34" i="43" s="1"/>
  <c r="Y34" i="43" s="1"/>
  <c r="Z34" i="43" s="1"/>
  <c r="V36" i="43"/>
  <c r="W36" i="43" s="1"/>
  <c r="X36" i="43" s="1"/>
  <c r="Y36" i="43" s="1"/>
  <c r="Z36" i="43" s="1"/>
  <c r="V37" i="43"/>
  <c r="W37" i="43" s="1"/>
  <c r="X37" i="43" s="1"/>
  <c r="Y37" i="43" s="1"/>
  <c r="Z37" i="43" s="1"/>
  <c r="V38" i="43"/>
  <c r="W38" i="43" s="1"/>
  <c r="X38" i="43" s="1"/>
  <c r="Y38" i="43" s="1"/>
  <c r="Z38" i="43" s="1"/>
  <c r="V40" i="43"/>
  <c r="W40" i="43" s="1"/>
  <c r="X40" i="43" s="1"/>
  <c r="Y40" i="43" s="1"/>
  <c r="Z40" i="43" s="1"/>
  <c r="V42" i="43"/>
  <c r="W42" i="43" s="1"/>
  <c r="X42" i="43" s="1"/>
  <c r="Y42" i="43" s="1"/>
  <c r="Z42" i="43" s="1"/>
  <c r="I44" i="43"/>
  <c r="V44" i="43"/>
  <c r="W44" i="43" s="1"/>
  <c r="X44" i="43" s="1"/>
  <c r="Y44" i="43" s="1"/>
  <c r="Z44" i="43" s="1"/>
  <c r="V46" i="43"/>
  <c r="W46" i="43" s="1"/>
  <c r="X46" i="43" s="1"/>
  <c r="Y46" i="43" s="1"/>
  <c r="Z46" i="43" s="1"/>
  <c r="V47" i="43"/>
  <c r="W47" i="43" s="1"/>
  <c r="X47" i="43" s="1"/>
  <c r="Y47" i="43" s="1"/>
  <c r="Z47" i="43" s="1"/>
  <c r="V48" i="43"/>
  <c r="W48" i="43" s="1"/>
  <c r="X48" i="43" s="1"/>
  <c r="Y48" i="43" s="1"/>
  <c r="Z48" i="43" s="1"/>
  <c r="V49" i="43"/>
  <c r="W49" i="43" s="1"/>
  <c r="X49" i="43" s="1"/>
  <c r="Y49" i="43" s="1"/>
  <c r="Z49" i="43" s="1"/>
  <c r="V50" i="43"/>
  <c r="W50" i="43" s="1"/>
  <c r="X50" i="43" s="1"/>
  <c r="Y50" i="43" s="1"/>
  <c r="Z50" i="43" s="1"/>
  <c r="V51" i="43"/>
  <c r="W51" i="43" s="1"/>
  <c r="X51" i="43" s="1"/>
  <c r="Y51" i="43" s="1"/>
  <c r="Z51" i="43" s="1"/>
  <c r="I52" i="43"/>
  <c r="J52" i="43" s="1"/>
  <c r="V53" i="43"/>
  <c r="W53" i="43" s="1"/>
  <c r="X53" i="43" s="1"/>
  <c r="Y53" i="43" s="1"/>
  <c r="Z53" i="43" s="1"/>
  <c r="V54" i="43"/>
  <c r="W54" i="43" s="1"/>
  <c r="X54" i="43" s="1"/>
  <c r="Y54" i="43" s="1"/>
  <c r="Z54" i="43" s="1"/>
  <c r="V55" i="43"/>
  <c r="W55" i="43" s="1"/>
  <c r="X55" i="43" s="1"/>
  <c r="Y55" i="43" s="1"/>
  <c r="Z55" i="43" s="1"/>
  <c r="V56" i="43"/>
  <c r="W56" i="43" s="1"/>
  <c r="X56" i="43" s="1"/>
  <c r="Y56" i="43" s="1"/>
  <c r="Z56" i="43" s="1"/>
  <c r="V58" i="43"/>
  <c r="W58" i="43" s="1"/>
  <c r="X58" i="43" s="1"/>
  <c r="Y58" i="43" s="1"/>
  <c r="Z58" i="43" s="1"/>
  <c r="V59" i="43"/>
  <c r="W59" i="43" s="1"/>
  <c r="X59" i="43" s="1"/>
  <c r="Y59" i="43" s="1"/>
  <c r="Z59" i="43" s="1"/>
  <c r="V60" i="43"/>
  <c r="W60" i="43" s="1"/>
  <c r="X60" i="43" s="1"/>
  <c r="Y60" i="43" s="1"/>
  <c r="Z60" i="43" s="1"/>
  <c r="V61" i="43"/>
  <c r="W61" i="43" s="1"/>
  <c r="X61" i="43" s="1"/>
  <c r="Y61" i="43" s="1"/>
  <c r="Z61" i="43" s="1"/>
  <c r="V62" i="43"/>
  <c r="W62" i="43" s="1"/>
  <c r="X62" i="43" s="1"/>
  <c r="Y62" i="43" s="1"/>
  <c r="Z62" i="43" s="1"/>
  <c r="V63" i="43"/>
  <c r="W63" i="43" s="1"/>
  <c r="X63" i="43" s="1"/>
  <c r="Y63" i="43" s="1"/>
  <c r="Z63" i="43" s="1"/>
  <c r="I64" i="43"/>
  <c r="J64" i="43" s="1"/>
  <c r="V65" i="43"/>
  <c r="W65" i="43" s="1"/>
  <c r="X65" i="43" s="1"/>
  <c r="Y65" i="43" s="1"/>
  <c r="Z65" i="43" s="1"/>
  <c r="V66" i="43"/>
  <c r="W66" i="43" s="1"/>
  <c r="X66" i="43" s="1"/>
  <c r="Y66" i="43" s="1"/>
  <c r="Z66" i="43" s="1"/>
  <c r="V67" i="43"/>
  <c r="W67" i="43" s="1"/>
  <c r="X67" i="43" s="1"/>
  <c r="Y67" i="43" s="1"/>
  <c r="Z67" i="43" s="1"/>
  <c r="I68" i="43"/>
  <c r="J68" i="43" s="1"/>
  <c r="V69" i="43"/>
  <c r="W69" i="43" s="1"/>
  <c r="X69" i="43" s="1"/>
  <c r="Y69" i="43" s="1"/>
  <c r="Z69" i="43" s="1"/>
  <c r="V70" i="43"/>
  <c r="W70" i="43" s="1"/>
  <c r="X70" i="43" s="1"/>
  <c r="Y70" i="43" s="1"/>
  <c r="Z70" i="43" s="1"/>
  <c r="V71" i="43"/>
  <c r="W71" i="43" s="1"/>
  <c r="X71" i="43" s="1"/>
  <c r="Y71" i="43" s="1"/>
  <c r="Z71" i="43" s="1"/>
  <c r="I72" i="43"/>
  <c r="J72" i="43" s="1"/>
  <c r="V72" i="43"/>
  <c r="W72" i="43" s="1"/>
  <c r="X72" i="43" s="1"/>
  <c r="Y72" i="43" s="1"/>
  <c r="Z72" i="43" s="1"/>
  <c r="V74" i="43"/>
  <c r="W74" i="43" s="1"/>
  <c r="X74" i="43" s="1"/>
  <c r="Y74" i="43" s="1"/>
  <c r="Z74" i="43" s="1"/>
  <c r="V77" i="43"/>
  <c r="W77" i="43" s="1"/>
  <c r="X77" i="43" s="1"/>
  <c r="Y77" i="43" s="1"/>
  <c r="Z77" i="43" s="1"/>
  <c r="V82" i="43"/>
  <c r="W82" i="43" s="1"/>
  <c r="X82" i="43" s="1"/>
  <c r="Y82" i="43" s="1"/>
  <c r="Z82" i="43" s="1"/>
  <c r="V83" i="43"/>
  <c r="W83" i="43" s="1"/>
  <c r="X83" i="43" s="1"/>
  <c r="Y83" i="43" s="1"/>
  <c r="Z83" i="43" s="1"/>
  <c r="V84" i="43"/>
  <c r="W84" i="43" s="1"/>
  <c r="X84" i="43" s="1"/>
  <c r="Y84" i="43" s="1"/>
  <c r="Z84" i="43" s="1"/>
  <c r="V85" i="43"/>
  <c r="W85" i="43" s="1"/>
  <c r="X85" i="43" s="1"/>
  <c r="Y85" i="43" s="1"/>
  <c r="Z85" i="43" s="1"/>
  <c r="V86" i="43"/>
  <c r="W86" i="43" s="1"/>
  <c r="X86" i="43" s="1"/>
  <c r="Y86" i="43" s="1"/>
  <c r="Z86" i="43" s="1"/>
  <c r="V87" i="43"/>
  <c r="W87" i="43" s="1"/>
  <c r="X87" i="43" s="1"/>
  <c r="Y87" i="43" s="1"/>
  <c r="Z87" i="43" s="1"/>
  <c r="V88" i="43"/>
  <c r="W88" i="43" s="1"/>
  <c r="X88" i="43" s="1"/>
  <c r="Y88" i="43" s="1"/>
  <c r="Z88" i="43" s="1"/>
  <c r="V91" i="43"/>
  <c r="W91" i="43" s="1"/>
  <c r="X91" i="43" s="1"/>
  <c r="Y91" i="43" s="1"/>
  <c r="Z91" i="43" s="1"/>
  <c r="V93" i="43"/>
  <c r="W93" i="43" s="1"/>
  <c r="X93" i="43" s="1"/>
  <c r="Y93" i="43" s="1"/>
  <c r="Z93" i="43" s="1"/>
  <c r="V94" i="43"/>
  <c r="W94" i="43" s="1"/>
  <c r="X94" i="43" s="1"/>
  <c r="Y94" i="43" s="1"/>
  <c r="Z94" i="43" s="1"/>
  <c r="V96" i="43"/>
  <c r="W96" i="43" s="1"/>
  <c r="X96" i="43" s="1"/>
  <c r="Y96" i="43" s="1"/>
  <c r="Z96" i="43" s="1"/>
  <c r="V98" i="43"/>
  <c r="W98" i="43" s="1"/>
  <c r="X98" i="43" s="1"/>
  <c r="Y98" i="43" s="1"/>
  <c r="Z98" i="43" s="1"/>
  <c r="V99" i="43"/>
  <c r="W99" i="43" s="1"/>
  <c r="X99" i="43" s="1"/>
  <c r="Y99" i="43" s="1"/>
  <c r="Z99" i="43" s="1"/>
  <c r="V100" i="43"/>
  <c r="W100" i="43" s="1"/>
  <c r="X100" i="43" s="1"/>
  <c r="Y100" i="43" s="1"/>
  <c r="Z100" i="43" s="1"/>
  <c r="V101" i="43"/>
  <c r="W101" i="43" s="1"/>
  <c r="X101" i="43" s="1"/>
  <c r="Y101" i="43" s="1"/>
  <c r="Z101" i="43" s="1"/>
  <c r="I102" i="43"/>
  <c r="V102" i="43"/>
  <c r="W102" i="43" s="1"/>
  <c r="X102" i="43" s="1"/>
  <c r="Y102" i="43" s="1"/>
  <c r="Z102" i="43" s="1"/>
  <c r="V103" i="43"/>
  <c r="W103" i="43" s="1"/>
  <c r="X103" i="43" s="1"/>
  <c r="Y103" i="43" s="1"/>
  <c r="Z103" i="43" s="1"/>
  <c r="V104" i="43"/>
  <c r="W104" i="43" s="1"/>
  <c r="X104" i="43" s="1"/>
  <c r="Y104" i="43" s="1"/>
  <c r="Z104" i="43" s="1"/>
  <c r="V105" i="43"/>
  <c r="W105" i="43" s="1"/>
  <c r="X105" i="43" s="1"/>
  <c r="Y105" i="43" s="1"/>
  <c r="Z105" i="43" s="1"/>
  <c r="I106" i="43"/>
  <c r="V106" i="43"/>
  <c r="W106" i="43" s="1"/>
  <c r="X106" i="43" s="1"/>
  <c r="Y106" i="43" s="1"/>
  <c r="Z106" i="43" s="1"/>
  <c r="V107" i="43"/>
  <c r="W107" i="43" s="1"/>
  <c r="X107" i="43" s="1"/>
  <c r="Y107" i="43" s="1"/>
  <c r="Z107" i="43" s="1"/>
  <c r="I108" i="43"/>
  <c r="V108" i="43"/>
  <c r="W108" i="43" s="1"/>
  <c r="X108" i="43" s="1"/>
  <c r="Y108" i="43" s="1"/>
  <c r="Z108" i="43" s="1"/>
  <c r="I109" i="43"/>
  <c r="J109" i="43" s="1"/>
  <c r="V110" i="43"/>
  <c r="W110" i="43" s="1"/>
  <c r="X110" i="43" s="1"/>
  <c r="Y110" i="43" s="1"/>
  <c r="Z110" i="43" s="1"/>
  <c r="V111" i="43"/>
  <c r="W111" i="43" s="1"/>
  <c r="X111" i="43" s="1"/>
  <c r="Y111" i="43" s="1"/>
  <c r="Z111" i="43" s="1"/>
  <c r="V112" i="43"/>
  <c r="W112" i="43" s="1"/>
  <c r="X112" i="43" s="1"/>
  <c r="Y112" i="43" s="1"/>
  <c r="Z112" i="43" s="1"/>
  <c r="V114" i="43"/>
  <c r="W114" i="43" s="1"/>
  <c r="X114" i="43" s="1"/>
  <c r="Y114" i="43" s="1"/>
  <c r="Z114" i="43" s="1"/>
  <c r="V115" i="43"/>
  <c r="W115" i="43" s="1"/>
  <c r="X115" i="43" s="1"/>
  <c r="Y115" i="43" s="1"/>
  <c r="Z115" i="43" s="1"/>
  <c r="V116" i="43"/>
  <c r="W116" i="43" s="1"/>
  <c r="X116" i="43" s="1"/>
  <c r="Y116" i="43" s="1"/>
  <c r="Z116" i="43" s="1"/>
  <c r="V117" i="43"/>
  <c r="W117" i="43" s="1"/>
  <c r="X117" i="43" s="1"/>
  <c r="Y117" i="43" s="1"/>
  <c r="Z117" i="43" s="1"/>
  <c r="I118" i="43"/>
  <c r="J118" i="43" s="1"/>
  <c r="V118" i="43"/>
  <c r="W118" i="43" s="1"/>
  <c r="X118" i="43" s="1"/>
  <c r="Y118" i="43" s="1"/>
  <c r="Z118" i="43" s="1"/>
  <c r="V119" i="43"/>
  <c r="W119" i="43" s="1"/>
  <c r="X119" i="43" s="1"/>
  <c r="Y119" i="43" s="1"/>
  <c r="Z119" i="43" s="1"/>
  <c r="V120" i="43"/>
  <c r="W120" i="43" s="1"/>
  <c r="X120" i="43" s="1"/>
  <c r="Y120" i="43" s="1"/>
  <c r="Z120" i="43" s="1"/>
  <c r="V121" i="43"/>
  <c r="W121" i="43" s="1"/>
  <c r="X121" i="43" s="1"/>
  <c r="Y121" i="43" s="1"/>
  <c r="Z121" i="43" s="1"/>
  <c r="V122" i="43"/>
  <c r="W122" i="43" s="1"/>
  <c r="X122" i="43" s="1"/>
  <c r="Y122" i="43" s="1"/>
  <c r="Z122" i="43" s="1"/>
  <c r="V123" i="43"/>
  <c r="W123" i="43" s="1"/>
  <c r="X123" i="43" s="1"/>
  <c r="Y123" i="43" s="1"/>
  <c r="Z123" i="43" s="1"/>
  <c r="V124" i="43"/>
  <c r="W124" i="43" s="1"/>
  <c r="X124" i="43" s="1"/>
  <c r="Y124" i="43" s="1"/>
  <c r="Z124" i="43" s="1"/>
  <c r="V126" i="43"/>
  <c r="W126" i="43" s="1"/>
  <c r="X126" i="43" s="1"/>
  <c r="Y126" i="43" s="1"/>
  <c r="Z126" i="43" s="1"/>
  <c r="V127" i="43"/>
  <c r="W127" i="43" s="1"/>
  <c r="X127" i="43" s="1"/>
  <c r="Y127" i="43" s="1"/>
  <c r="Z127" i="43" s="1"/>
  <c r="V128" i="43"/>
  <c r="W128" i="43" s="1"/>
  <c r="X128" i="43" s="1"/>
  <c r="Y128" i="43" s="1"/>
  <c r="Z128" i="43" s="1"/>
  <c r="V129" i="43"/>
  <c r="W129" i="43" s="1"/>
  <c r="X129" i="43" s="1"/>
  <c r="Y129" i="43" s="1"/>
  <c r="Z129" i="43" s="1"/>
  <c r="V130" i="43"/>
  <c r="W130" i="43" s="1"/>
  <c r="X130" i="43" s="1"/>
  <c r="Y130" i="43" s="1"/>
  <c r="Z130" i="43" s="1"/>
  <c r="I131" i="43"/>
  <c r="V131" i="43"/>
  <c r="W131" i="43" s="1"/>
  <c r="X131" i="43" s="1"/>
  <c r="Y131" i="43" s="1"/>
  <c r="Z131" i="43" s="1"/>
  <c r="V132" i="43"/>
  <c r="W132" i="43" s="1"/>
  <c r="X132" i="43" s="1"/>
  <c r="Y132" i="43" s="1"/>
  <c r="Z132" i="43" s="1"/>
  <c r="V133" i="43"/>
  <c r="W133" i="43" s="1"/>
  <c r="X133" i="43" s="1"/>
  <c r="Y133" i="43" s="1"/>
  <c r="Z133" i="43" s="1"/>
  <c r="I134" i="43"/>
  <c r="V134" i="43"/>
  <c r="W134" i="43" s="1"/>
  <c r="X134" i="43" s="1"/>
  <c r="Y134" i="43" s="1"/>
  <c r="Z134" i="43" s="1"/>
  <c r="V135" i="43"/>
  <c r="W135" i="43" s="1"/>
  <c r="X135" i="43" s="1"/>
  <c r="Y135" i="43" s="1"/>
  <c r="Z135" i="43" s="1"/>
  <c r="V136" i="43"/>
  <c r="W136" i="43" s="1"/>
  <c r="X136" i="43" s="1"/>
  <c r="Y136" i="43" s="1"/>
  <c r="Z136" i="43" s="1"/>
  <c r="V137" i="43"/>
  <c r="W137" i="43" s="1"/>
  <c r="X137" i="43" s="1"/>
  <c r="Y137" i="43" s="1"/>
  <c r="Z137" i="43" s="1"/>
  <c r="I138" i="43"/>
  <c r="V138" i="43"/>
  <c r="W138" i="43" s="1"/>
  <c r="X138" i="43" s="1"/>
  <c r="Y138" i="43" s="1"/>
  <c r="Z138" i="43" s="1"/>
  <c r="V139" i="43"/>
  <c r="W139" i="43" s="1"/>
  <c r="X139" i="43" s="1"/>
  <c r="Y139" i="43" s="1"/>
  <c r="Z139" i="43" s="1"/>
  <c r="H30" i="37"/>
  <c r="L109" i="35" s="1"/>
  <c r="H33" i="37"/>
  <c r="L112" i="35" s="1"/>
  <c r="I30" i="37"/>
  <c r="I33" i="37"/>
  <c r="M112" i="35" s="1"/>
  <c r="J30" i="37"/>
  <c r="J33" i="37"/>
  <c r="N112" i="35" s="1"/>
  <c r="D41" i="22"/>
  <c r="J24" i="37"/>
  <c r="J21" i="37"/>
  <c r="I24" i="37"/>
  <c r="I21" i="37"/>
  <c r="H24" i="37"/>
  <c r="H21" i="37"/>
  <c r="G24" i="37"/>
  <c r="G21" i="37"/>
  <c r="F24" i="37"/>
  <c r="F21" i="37"/>
  <c r="I14" i="24"/>
  <c r="J14" i="24"/>
  <c r="K14" i="24"/>
  <c r="L14" i="24"/>
  <c r="K156" i="13"/>
  <c r="K188" i="13" s="1"/>
  <c r="K220" i="13" s="1"/>
  <c r="K252" i="13" s="1"/>
  <c r="K284" i="13" s="1"/>
  <c r="I29" i="18"/>
  <c r="J29" i="18" s="1"/>
  <c r="K29" i="18" s="1"/>
  <c r="L29" i="18" s="1"/>
  <c r="M29" i="18" s="1"/>
  <c r="I30" i="18"/>
  <c r="I31" i="18"/>
  <c r="J31" i="18" s="1"/>
  <c r="K31" i="18" s="1"/>
  <c r="L31" i="18" s="1"/>
  <c r="M31" i="18" s="1"/>
  <c r="I32" i="18"/>
  <c r="J32" i="18" s="1"/>
  <c r="K32" i="18" s="1"/>
  <c r="L32" i="18" s="1"/>
  <c r="M32" i="18" s="1"/>
  <c r="I82" i="18"/>
  <c r="J82" i="18" s="1"/>
  <c r="K82" i="18" s="1"/>
  <c r="L82" i="18" s="1"/>
  <c r="M82" i="18" s="1"/>
  <c r="I83" i="18"/>
  <c r="J83" i="18" s="1"/>
  <c r="K83" i="18" s="1"/>
  <c r="L83" i="18" s="1"/>
  <c r="M83" i="18" s="1"/>
  <c r="I85" i="18"/>
  <c r="J85" i="18" s="1"/>
  <c r="K85" i="18" s="1"/>
  <c r="L85" i="18" s="1"/>
  <c r="M85" i="18" s="1"/>
  <c r="I86" i="18"/>
  <c r="J86" i="18" s="1"/>
  <c r="K86" i="18" s="1"/>
  <c r="L86" i="18" s="1"/>
  <c r="M86" i="18" s="1"/>
  <c r="I108" i="18"/>
  <c r="J108" i="18" s="1"/>
  <c r="K108" i="18" s="1"/>
  <c r="L108" i="18" s="1"/>
  <c r="M108" i="18" s="1"/>
  <c r="I109" i="18"/>
  <c r="J109" i="18" s="1"/>
  <c r="K109" i="18" s="1"/>
  <c r="L109" i="18" s="1"/>
  <c r="M109" i="18" s="1"/>
  <c r="I110" i="18"/>
  <c r="J110" i="18" s="1"/>
  <c r="K110" i="18" s="1"/>
  <c r="L110" i="18" s="1"/>
  <c r="M110" i="18" s="1"/>
  <c r="I111" i="18"/>
  <c r="J111" i="18" s="1"/>
  <c r="K111" i="18" s="1"/>
  <c r="L111" i="18" s="1"/>
  <c r="M111" i="18" s="1"/>
  <c r="H8" i="39"/>
  <c r="H61" i="39" s="1"/>
  <c r="F16" i="37"/>
  <c r="M19" i="36"/>
  <c r="M20" i="36"/>
  <c r="M21" i="36"/>
  <c r="M22" i="36"/>
  <c r="M23" i="36"/>
  <c r="M24" i="36"/>
  <c r="M25" i="36"/>
  <c r="M26" i="36"/>
  <c r="M27" i="36"/>
  <c r="M28" i="36"/>
  <c r="M29" i="36"/>
  <c r="M30" i="36"/>
  <c r="M31" i="36"/>
  <c r="M32" i="36"/>
  <c r="M33" i="36"/>
  <c r="M34" i="36"/>
  <c r="M35" i="36"/>
  <c r="M36" i="36"/>
  <c r="M37" i="36"/>
  <c r="M38" i="36"/>
  <c r="M39" i="36"/>
  <c r="M40" i="36"/>
  <c r="M41" i="36"/>
  <c r="M42" i="36"/>
  <c r="M43" i="36"/>
  <c r="M44" i="36"/>
  <c r="M45" i="36"/>
  <c r="M46" i="36"/>
  <c r="M47" i="36"/>
  <c r="M48" i="36"/>
  <c r="M49" i="36"/>
  <c r="M50" i="36"/>
  <c r="M51" i="36"/>
  <c r="M52" i="36"/>
  <c r="M53" i="36"/>
  <c r="M54" i="36"/>
  <c r="M55" i="36"/>
  <c r="M56" i="36"/>
  <c r="M57" i="36"/>
  <c r="M58" i="36"/>
  <c r="M59" i="36"/>
  <c r="M60" i="36"/>
  <c r="M61" i="36"/>
  <c r="M62" i="36"/>
  <c r="M63" i="36"/>
  <c r="M64" i="36"/>
  <c r="M65" i="36"/>
  <c r="M66" i="36"/>
  <c r="M67" i="36"/>
  <c r="M68" i="36"/>
  <c r="M69" i="36"/>
  <c r="M70" i="36"/>
  <c r="K14" i="36"/>
  <c r="N14" i="36" s="1"/>
  <c r="K15" i="36"/>
  <c r="N15" i="36" s="1"/>
  <c r="K16" i="36"/>
  <c r="N16" i="36" s="1"/>
  <c r="K17" i="36"/>
  <c r="N17" i="36" s="1"/>
  <c r="K18" i="36"/>
  <c r="N18" i="36" s="1"/>
  <c r="K19" i="36"/>
  <c r="N19" i="36" s="1"/>
  <c r="K20" i="36"/>
  <c r="N20" i="36" s="1"/>
  <c r="K21" i="36"/>
  <c r="N21" i="36" s="1"/>
  <c r="K22" i="36"/>
  <c r="N22" i="36" s="1"/>
  <c r="K23" i="36"/>
  <c r="N23" i="36" s="1"/>
  <c r="K24" i="36"/>
  <c r="N24" i="36" s="1"/>
  <c r="K25" i="36"/>
  <c r="N25" i="36" s="1"/>
  <c r="K26" i="36"/>
  <c r="N26" i="36" s="1"/>
  <c r="K27" i="36"/>
  <c r="N27" i="36" s="1"/>
  <c r="K28" i="36"/>
  <c r="N28" i="36" s="1"/>
  <c r="K29" i="36"/>
  <c r="N29" i="36" s="1"/>
  <c r="K30" i="36"/>
  <c r="N30" i="36" s="1"/>
  <c r="K31" i="36"/>
  <c r="N31" i="36" s="1"/>
  <c r="K32" i="36"/>
  <c r="N32" i="36" s="1"/>
  <c r="K33" i="36"/>
  <c r="N33" i="36" s="1"/>
  <c r="K34" i="36"/>
  <c r="N34" i="36" s="1"/>
  <c r="K35" i="36"/>
  <c r="N35" i="36" s="1"/>
  <c r="K36" i="36"/>
  <c r="N36" i="36" s="1"/>
  <c r="K37" i="36"/>
  <c r="N37" i="36" s="1"/>
  <c r="K38" i="36"/>
  <c r="N38" i="36" s="1"/>
  <c r="K39" i="36"/>
  <c r="N39" i="36" s="1"/>
  <c r="K40" i="36"/>
  <c r="N40" i="36" s="1"/>
  <c r="K41" i="36"/>
  <c r="N41" i="36" s="1"/>
  <c r="K42" i="36"/>
  <c r="N42" i="36" s="1"/>
  <c r="K43" i="36"/>
  <c r="N43" i="36" s="1"/>
  <c r="K44" i="36"/>
  <c r="N44" i="36" s="1"/>
  <c r="K45" i="36"/>
  <c r="N45" i="36" s="1"/>
  <c r="K46" i="36"/>
  <c r="N46" i="36" s="1"/>
  <c r="K47" i="36"/>
  <c r="N47" i="36" s="1"/>
  <c r="K48" i="36"/>
  <c r="N48" i="36" s="1"/>
  <c r="K49" i="36"/>
  <c r="N49" i="36" s="1"/>
  <c r="K50" i="36"/>
  <c r="N50" i="36" s="1"/>
  <c r="K51" i="36"/>
  <c r="N51" i="36" s="1"/>
  <c r="K52" i="36"/>
  <c r="N52" i="36" s="1"/>
  <c r="K53" i="36"/>
  <c r="N53" i="36" s="1"/>
  <c r="K54" i="36"/>
  <c r="N54" i="36" s="1"/>
  <c r="K55" i="36"/>
  <c r="N55" i="36" s="1"/>
  <c r="K56" i="36"/>
  <c r="N56" i="36" s="1"/>
  <c r="K57" i="36"/>
  <c r="N57" i="36" s="1"/>
  <c r="K58" i="36"/>
  <c r="N58" i="36"/>
  <c r="K59" i="36"/>
  <c r="N59" i="36" s="1"/>
  <c r="K60" i="36"/>
  <c r="N60" i="36"/>
  <c r="K61" i="36"/>
  <c r="N61" i="36" s="1"/>
  <c r="K62" i="36"/>
  <c r="N62" i="36"/>
  <c r="K63" i="36"/>
  <c r="N63" i="36" s="1"/>
  <c r="K64" i="36"/>
  <c r="N64" i="36"/>
  <c r="K65" i="36"/>
  <c r="N65" i="36" s="1"/>
  <c r="K66" i="36"/>
  <c r="N66" i="36"/>
  <c r="K67" i="36"/>
  <c r="N67" i="36" s="1"/>
  <c r="K68" i="36"/>
  <c r="N68" i="36"/>
  <c r="K69" i="36"/>
  <c r="N69" i="36" s="1"/>
  <c r="K70" i="36"/>
  <c r="N70"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J221" i="35"/>
  <c r="K221" i="35"/>
  <c r="L221" i="35"/>
  <c r="M221" i="35"/>
  <c r="I18" i="31"/>
  <c r="I60" i="31" s="1"/>
  <c r="J18" i="31"/>
  <c r="J60" i="31" s="1"/>
  <c r="K18" i="31"/>
  <c r="K60" i="31" s="1"/>
  <c r="L18" i="31"/>
  <c r="L60" i="31" s="1"/>
  <c r="M18" i="31"/>
  <c r="M60" i="31" s="1"/>
  <c r="J19" i="31"/>
  <c r="J41" i="31" s="1"/>
  <c r="F31" i="28"/>
  <c r="F33" i="28" s="1"/>
  <c r="J41" i="28"/>
  <c r="J43" i="28" s="1"/>
  <c r="J31" i="28"/>
  <c r="J33" i="28" s="1"/>
  <c r="H41" i="28"/>
  <c r="H43" i="28" s="1"/>
  <c r="G31" i="28"/>
  <c r="G33" i="28" s="1"/>
  <c r="G16" i="1"/>
  <c r="I41" i="28"/>
  <c r="I43" i="28" s="1"/>
  <c r="I31" i="28"/>
  <c r="I33" i="28" s="1"/>
  <c r="H162" i="13"/>
  <c r="H194" i="13" s="1"/>
  <c r="H226" i="13" s="1"/>
  <c r="H258" i="13" s="1"/>
  <c r="H290" i="13" s="1"/>
  <c r="F162" i="13"/>
  <c r="F194" i="13" s="1"/>
  <c r="F226" i="13" s="1"/>
  <c r="F258" i="13" s="1"/>
  <c r="F290" i="13" s="1"/>
  <c r="D162" i="13"/>
  <c r="D194" i="13" s="1"/>
  <c r="D226" i="13" s="1"/>
  <c r="D258" i="13" s="1"/>
  <c r="D290" i="13" s="1"/>
  <c r="D161" i="13"/>
  <c r="D193" i="13" s="1"/>
  <c r="D225" i="13" s="1"/>
  <c r="D257" i="13" s="1"/>
  <c r="D289" i="13" s="1"/>
  <c r="F192" i="13"/>
  <c r="F224" i="13" s="1"/>
  <c r="F256" i="13" s="1"/>
  <c r="F288" i="13" s="1"/>
  <c r="D158" i="13"/>
  <c r="D190" i="13" s="1"/>
  <c r="D222" i="13" s="1"/>
  <c r="D254" i="13" s="1"/>
  <c r="D286" i="13" s="1"/>
  <c r="D156" i="13"/>
  <c r="D188" i="13" s="1"/>
  <c r="D220" i="13" s="1"/>
  <c r="D252" i="13" s="1"/>
  <c r="D284" i="13" s="1"/>
  <c r="H155" i="13"/>
  <c r="H187" i="13" s="1"/>
  <c r="H219" i="13" s="1"/>
  <c r="H251" i="13" s="1"/>
  <c r="H283" i="13" s="1"/>
  <c r="D185" i="13"/>
  <c r="D217" i="13" s="1"/>
  <c r="D249" i="13" s="1"/>
  <c r="D281" i="13" s="1"/>
  <c r="H152" i="13"/>
  <c r="H184" i="13" s="1"/>
  <c r="H216" i="13" s="1"/>
  <c r="H248" i="13" s="1"/>
  <c r="H280" i="13" s="1"/>
  <c r="F152" i="13"/>
  <c r="F184" i="13" s="1"/>
  <c r="F216" i="13" s="1"/>
  <c r="F248" i="13" s="1"/>
  <c r="F280" i="13" s="1"/>
  <c r="H150" i="13"/>
  <c r="H182" i="13" s="1"/>
  <c r="H214" i="13" s="1"/>
  <c r="H246" i="13" s="1"/>
  <c r="H278" i="13" s="1"/>
  <c r="D150" i="13"/>
  <c r="D182" i="13" s="1"/>
  <c r="D214" i="13" s="1"/>
  <c r="D246" i="13" s="1"/>
  <c r="D278" i="13" s="1"/>
  <c r="D181" i="13"/>
  <c r="D213" i="13" s="1"/>
  <c r="D245" i="13" s="1"/>
  <c r="D277" i="13" s="1"/>
  <c r="D148" i="13"/>
  <c r="D180" i="13" s="1"/>
  <c r="D212" i="13" s="1"/>
  <c r="D244" i="13" s="1"/>
  <c r="D276" i="13" s="1"/>
  <c r="F145" i="13"/>
  <c r="F177" i="13" s="1"/>
  <c r="F209" i="13" s="1"/>
  <c r="F241" i="13" s="1"/>
  <c r="F273" i="13" s="1"/>
  <c r="D144" i="13"/>
  <c r="D176" i="13" s="1"/>
  <c r="D208" i="13" s="1"/>
  <c r="D240" i="13" s="1"/>
  <c r="D272" i="13" s="1"/>
  <c r="F15" i="1"/>
  <c r="G15" i="1"/>
  <c r="F52" i="38" s="1"/>
  <c r="H15" i="1"/>
  <c r="G52" i="38" s="1"/>
  <c r="I15" i="1"/>
  <c r="H52" i="38" s="1"/>
  <c r="J15" i="1"/>
  <c r="I52" i="38" s="1"/>
  <c r="M14" i="36"/>
  <c r="I124" i="43"/>
  <c r="I104" i="43"/>
  <c r="I112" i="43"/>
  <c r="I114" i="43"/>
  <c r="E162" i="13"/>
  <c r="K168" i="35"/>
  <c r="L168" i="35" s="1"/>
  <c r="M168" i="35" s="1"/>
  <c r="N168" i="35" s="1"/>
  <c r="O168" i="35" s="1"/>
  <c r="I149" i="18"/>
  <c r="J149" i="18" s="1"/>
  <c r="K149" i="18" s="1"/>
  <c r="L149" i="18" s="1"/>
  <c r="M149" i="18" s="1"/>
  <c r="H233" i="18"/>
  <c r="H226" i="18" s="1"/>
  <c r="I155" i="18"/>
  <c r="J155" i="18" s="1"/>
  <c r="K155" i="18" s="1"/>
  <c r="L155" i="18" s="1"/>
  <c r="M155" i="18" s="1"/>
  <c r="M17" i="36"/>
  <c r="M16" i="36"/>
  <c r="E194" i="13"/>
  <c r="G159" i="13"/>
  <c r="G155" i="13"/>
  <c r="G191" i="13"/>
  <c r="G152" i="13"/>
  <c r="G33" i="38"/>
  <c r="H33" i="38" s="1"/>
  <c r="I33" i="38" s="1"/>
  <c r="J26" i="31"/>
  <c r="J24" i="31"/>
  <c r="I76" i="43"/>
  <c r="I65" i="43"/>
  <c r="J65" i="43" s="1"/>
  <c r="K65" i="43" s="1"/>
  <c r="I57" i="43"/>
  <c r="I49" i="43"/>
  <c r="I137" i="43"/>
  <c r="J137" i="43" s="1"/>
  <c r="I133" i="43"/>
  <c r="J133" i="43" s="1"/>
  <c r="I128" i="43"/>
  <c r="I105" i="43"/>
  <c r="I101" i="43"/>
  <c r="J101" i="43" s="1"/>
  <c r="K101" i="43" s="1"/>
  <c r="L101" i="43" s="1"/>
  <c r="I97" i="43"/>
  <c r="J97" i="43" s="1"/>
  <c r="I89" i="43"/>
  <c r="I85" i="43"/>
  <c r="J85" i="43" s="1"/>
  <c r="F8" i="38"/>
  <c r="J30" i="18"/>
  <c r="K30" i="18" s="1"/>
  <c r="L30" i="18" s="1"/>
  <c r="M30" i="18" s="1"/>
  <c r="J92" i="18"/>
  <c r="K92" i="18" s="1"/>
  <c r="L92" i="18" s="1"/>
  <c r="M92" i="18" s="1"/>
  <c r="J106" i="43"/>
  <c r="K106" i="43"/>
  <c r="L106" i="43" s="1"/>
  <c r="I53" i="43"/>
  <c r="J53" i="43" s="1"/>
  <c r="I45" i="43"/>
  <c r="J45" i="43" s="1"/>
  <c r="I73" i="43"/>
  <c r="I113" i="43"/>
  <c r="J113" i="43" s="1"/>
  <c r="K113" i="43" s="1"/>
  <c r="L113" i="43" s="1"/>
  <c r="I121" i="43"/>
  <c r="J121" i="43" s="1"/>
  <c r="I93" i="43"/>
  <c r="J93" i="43" s="1"/>
  <c r="I41" i="43"/>
  <c r="J41" i="43" s="1"/>
  <c r="H54" i="29"/>
  <c r="I32" i="37"/>
  <c r="M111" i="35" s="1"/>
  <c r="K71" i="31"/>
  <c r="K152" i="31"/>
  <c r="K156" i="31"/>
  <c r="K168" i="31"/>
  <c r="K172" i="31"/>
  <c r="L172" i="31" s="1"/>
  <c r="K176" i="31"/>
  <c r="K188" i="31"/>
  <c r="K192" i="31"/>
  <c r="K196" i="31"/>
  <c r="L196" i="31" s="1"/>
  <c r="M196" i="31" s="1"/>
  <c r="N196" i="31" s="1"/>
  <c r="K208" i="31"/>
  <c r="K212" i="31"/>
  <c r="K143" i="31"/>
  <c r="K142" i="31"/>
  <c r="K102" i="31"/>
  <c r="L102" i="31" s="1"/>
  <c r="L82" i="31"/>
  <c r="K146" i="31"/>
  <c r="L146" i="31" s="1"/>
  <c r="K126" i="31"/>
  <c r="K76" i="31"/>
  <c r="F249" i="24"/>
  <c r="F245" i="24"/>
  <c r="F241" i="24"/>
  <c r="F237" i="24"/>
  <c r="F233" i="24"/>
  <c r="F229" i="24"/>
  <c r="F225" i="24"/>
  <c r="F221" i="24"/>
  <c r="F217" i="24"/>
  <c r="F213" i="24"/>
  <c r="F209" i="24"/>
  <c r="F205" i="24"/>
  <c r="F201" i="24"/>
  <c r="F197" i="24"/>
  <c r="F193" i="24"/>
  <c r="F189" i="24"/>
  <c r="F185" i="24"/>
  <c r="F181" i="24"/>
  <c r="F177" i="24"/>
  <c r="F173" i="24"/>
  <c r="F169" i="24"/>
  <c r="F165" i="24"/>
  <c r="K153" i="31"/>
  <c r="K151" i="31"/>
  <c r="L151" i="31" s="1"/>
  <c r="M151" i="31" s="1"/>
  <c r="N151" i="31" s="1"/>
  <c r="K157" i="31"/>
  <c r="K163" i="31"/>
  <c r="L163" i="31" s="1"/>
  <c r="M163" i="31" s="1"/>
  <c r="K161" i="31"/>
  <c r="K167" i="31"/>
  <c r="K173" i="31"/>
  <c r="K171" i="31"/>
  <c r="L171" i="31" s="1"/>
  <c r="K177" i="31"/>
  <c r="L177" i="31" s="1"/>
  <c r="M177" i="31" s="1"/>
  <c r="K183" i="31"/>
  <c r="K181" i="31"/>
  <c r="K187" i="31"/>
  <c r="K193" i="31"/>
  <c r="K191" i="31"/>
  <c r="L191" i="31" s="1"/>
  <c r="K197" i="31"/>
  <c r="K203" i="31"/>
  <c r="K201" i="31"/>
  <c r="K207" i="31"/>
  <c r="K213" i="31"/>
  <c r="K211" i="31"/>
  <c r="L211" i="31" s="1"/>
  <c r="M211" i="31" s="1"/>
  <c r="K148" i="31"/>
  <c r="L148" i="31" s="1"/>
  <c r="K128" i="31"/>
  <c r="K73" i="31"/>
  <c r="K147" i="31"/>
  <c r="K127" i="31"/>
  <c r="K33" i="31" s="1"/>
  <c r="K101" i="31"/>
  <c r="F248" i="24"/>
  <c r="F244" i="24"/>
  <c r="F240" i="24"/>
  <c r="F236" i="24"/>
  <c r="F232" i="24"/>
  <c r="F228" i="24"/>
  <c r="F224" i="24"/>
  <c r="F220" i="24"/>
  <c r="F216" i="24"/>
  <c r="F212" i="24"/>
  <c r="F208" i="24"/>
  <c r="F204" i="24"/>
  <c r="F200" i="24"/>
  <c r="F196" i="24"/>
  <c r="F192" i="24"/>
  <c r="F188" i="24"/>
  <c r="F184" i="24"/>
  <c r="F180" i="24"/>
  <c r="F176" i="24"/>
  <c r="F172" i="24"/>
  <c r="F168" i="24"/>
  <c r="F164" i="24"/>
  <c r="D178" i="24"/>
  <c r="D214" i="24"/>
  <c r="D238" i="24"/>
  <c r="D244" i="24"/>
  <c r="D226" i="24"/>
  <c r="D160" i="24"/>
  <c r="K77" i="31"/>
  <c r="L77" i="31" s="1"/>
  <c r="K78" i="31"/>
  <c r="L83" i="31"/>
  <c r="G32" i="37"/>
  <c r="K111" i="35" s="1"/>
  <c r="F32" i="37"/>
  <c r="J111" i="35" s="1"/>
  <c r="H32" i="37"/>
  <c r="L111" i="35" s="1"/>
  <c r="E226" i="13"/>
  <c r="G223" i="13"/>
  <c r="G255" i="13" s="1"/>
  <c r="F23" i="37"/>
  <c r="F14" i="49"/>
  <c r="L73" i="31"/>
  <c r="L86" i="31"/>
  <c r="L188" i="31"/>
  <c r="M188" i="31" s="1"/>
  <c r="I77" i="43"/>
  <c r="I71" i="43"/>
  <c r="J71" i="43" s="1"/>
  <c r="K71" i="43" s="1"/>
  <c r="I83" i="43"/>
  <c r="J83" i="43" s="1"/>
  <c r="I87" i="43"/>
  <c r="J87" i="43" s="1"/>
  <c r="I91" i="43"/>
  <c r="I95" i="43"/>
  <c r="J95" i="43" s="1"/>
  <c r="I99" i="43"/>
  <c r="J99" i="43" s="1"/>
  <c r="I103" i="43"/>
  <c r="I122" i="43"/>
  <c r="J122" i="43" s="1"/>
  <c r="K122" i="43" s="1"/>
  <c r="L122" i="43" s="1"/>
  <c r="I51" i="43"/>
  <c r="J51" i="43" s="1"/>
  <c r="I59" i="43"/>
  <c r="J59" i="43" s="1"/>
  <c r="K59" i="43" s="1"/>
  <c r="L59" i="43" s="1"/>
  <c r="I63" i="43"/>
  <c r="J63" i="43" s="1"/>
  <c r="I67" i="43"/>
  <c r="J67" i="43" s="1"/>
  <c r="K67" i="43" s="1"/>
  <c r="L67" i="43" s="1"/>
  <c r="I117" i="43"/>
  <c r="J117" i="43" s="1"/>
  <c r="K117" i="43" s="1"/>
  <c r="I125" i="43"/>
  <c r="J125" i="43" s="1"/>
  <c r="I129" i="43"/>
  <c r="J129" i="43" s="1"/>
  <c r="I69" i="43"/>
  <c r="J69" i="43" s="1"/>
  <c r="I81" i="43"/>
  <c r="J81" i="43" s="1"/>
  <c r="I61" i="43"/>
  <c r="J61" i="43" s="1"/>
  <c r="I127" i="43"/>
  <c r="G23" i="37"/>
  <c r="L32" i="37"/>
  <c r="I120" i="43"/>
  <c r="J120" i="43" s="1"/>
  <c r="K120" i="43" s="1"/>
  <c r="L120" i="43" s="1"/>
  <c r="I126" i="43"/>
  <c r="I136" i="43"/>
  <c r="I47" i="43"/>
  <c r="J47" i="43" s="1"/>
  <c r="I55" i="43"/>
  <c r="J55" i="43" s="1"/>
  <c r="I75" i="43"/>
  <c r="I79" i="43"/>
  <c r="J79" i="43" s="1"/>
  <c r="K79" i="43" s="1"/>
  <c r="I84" i="43"/>
  <c r="J84" i="43" s="1"/>
  <c r="I88" i="43"/>
  <c r="J88" i="43" s="1"/>
  <c r="I107" i="43"/>
  <c r="J128" i="43"/>
  <c r="I111" i="43"/>
  <c r="J111" i="43" s="1"/>
  <c r="I119" i="43"/>
  <c r="J119" i="43" s="1"/>
  <c r="J89" i="43"/>
  <c r="I115" i="43"/>
  <c r="J115" i="43" s="1"/>
  <c r="K115" i="43" s="1"/>
  <c r="L115" i="43" s="1"/>
  <c r="I123" i="43"/>
  <c r="J123" i="43" s="1"/>
  <c r="K123" i="43" s="1"/>
  <c r="L123" i="43" s="1"/>
  <c r="J49" i="43"/>
  <c r="J57" i="43"/>
  <c r="L156" i="31"/>
  <c r="J32" i="37"/>
  <c r="N111" i="35" s="1"/>
  <c r="L213" i="31"/>
  <c r="L128" i="31"/>
  <c r="L197" i="31"/>
  <c r="L181" i="31"/>
  <c r="L157" i="31"/>
  <c r="L212" i="31"/>
  <c r="I23" i="37"/>
  <c r="L78" i="31"/>
  <c r="J187" i="18"/>
  <c r="K187" i="18" s="1"/>
  <c r="L187" i="18" s="1"/>
  <c r="M187" i="18" s="1"/>
  <c r="H23" i="37"/>
  <c r="N32" i="37"/>
  <c r="M32" i="37"/>
  <c r="K32" i="37"/>
  <c r="O111" i="35" s="1"/>
  <c r="M73" i="31"/>
  <c r="J91" i="43"/>
  <c r="L23" i="37"/>
  <c r="J136" i="43"/>
  <c r="K136" i="43" s="1"/>
  <c r="L136" i="43" s="1"/>
  <c r="M156" i="31"/>
  <c r="J23" i="37"/>
  <c r="M212" i="31"/>
  <c r="M23" i="37"/>
  <c r="N23" i="37"/>
  <c r="K23" i="37"/>
  <c r="AB54" i="13" l="1"/>
  <c r="AB50" i="13"/>
  <c r="K195" i="24"/>
  <c r="K79" i="24"/>
  <c r="K191" i="24"/>
  <c r="K75" i="24"/>
  <c r="K70" i="24"/>
  <c r="K186" i="24"/>
  <c r="K179" i="24"/>
  <c r="K63" i="24"/>
  <c r="M82" i="31"/>
  <c r="K170" i="24"/>
  <c r="K54" i="24"/>
  <c r="M83" i="31"/>
  <c r="K55" i="24"/>
  <c r="K171" i="24"/>
  <c r="M18" i="36"/>
  <c r="K203" i="24"/>
  <c r="K87" i="24"/>
  <c r="J204" i="24"/>
  <c r="J88" i="24"/>
  <c r="K202" i="24"/>
  <c r="K86" i="24"/>
  <c r="J86" i="24"/>
  <c r="J202" i="24"/>
  <c r="M128" i="31"/>
  <c r="K198" i="24"/>
  <c r="K82" i="24"/>
  <c r="J198" i="24"/>
  <c r="J82" i="24"/>
  <c r="J81" i="24"/>
  <c r="J197" i="24"/>
  <c r="J77" i="24"/>
  <c r="J193" i="24"/>
  <c r="J192" i="24"/>
  <c r="J76" i="24"/>
  <c r="J74" i="24"/>
  <c r="J190" i="24"/>
  <c r="J184" i="24"/>
  <c r="J68" i="24"/>
  <c r="J65" i="24"/>
  <c r="J181" i="24"/>
  <c r="J178" i="24"/>
  <c r="J62" i="24"/>
  <c r="K175" i="24"/>
  <c r="K59" i="24"/>
  <c r="J59" i="24"/>
  <c r="J175" i="24"/>
  <c r="K56" i="24"/>
  <c r="K172" i="24"/>
  <c r="J172" i="24"/>
  <c r="J56" i="24"/>
  <c r="J50" i="24"/>
  <c r="J166" i="24"/>
  <c r="L71" i="31"/>
  <c r="J163" i="24"/>
  <c r="J47" i="24"/>
  <c r="G35" i="47"/>
  <c r="H35" i="47" s="1"/>
  <c r="H164" i="48"/>
  <c r="H81" i="48"/>
  <c r="H21" i="48"/>
  <c r="H144" i="48"/>
  <c r="H184" i="48"/>
  <c r="H101" i="48"/>
  <c r="H61" i="48"/>
  <c r="H204" i="48"/>
  <c r="H216" i="48" s="1"/>
  <c r="H124" i="48"/>
  <c r="H41" i="48"/>
  <c r="G15" i="47"/>
  <c r="H15" i="47" s="1"/>
  <c r="H33" i="22"/>
  <c r="G35" i="22"/>
  <c r="G84" i="13"/>
  <c r="AK52" i="13"/>
  <c r="AL52" i="13" s="1"/>
  <c r="K83" i="13"/>
  <c r="O51" i="13"/>
  <c r="J55" i="13"/>
  <c r="AB55" i="13" s="1"/>
  <c r="T55" i="13" s="1"/>
  <c r="G85" i="13"/>
  <c r="AK53" i="13"/>
  <c r="AL53" i="13" s="1"/>
  <c r="K84" i="13"/>
  <c r="R52" i="13"/>
  <c r="U52" i="13"/>
  <c r="O52" i="13"/>
  <c r="T52" i="13"/>
  <c r="S52" i="13"/>
  <c r="J51" i="13"/>
  <c r="AB51" i="13" s="1"/>
  <c r="T51" i="13" s="1"/>
  <c r="G81" i="13"/>
  <c r="AK81" i="13" s="1"/>
  <c r="AL81" i="13" s="1"/>
  <c r="AK49" i="13"/>
  <c r="AL49" i="13" s="1"/>
  <c r="K80" i="13"/>
  <c r="O48" i="13"/>
  <c r="K87" i="13"/>
  <c r="O55" i="13"/>
  <c r="G80" i="13"/>
  <c r="AK48" i="13"/>
  <c r="AL48" i="13" s="1"/>
  <c r="G86" i="13"/>
  <c r="AK54" i="13"/>
  <c r="AL54" i="13" s="1"/>
  <c r="K85" i="13"/>
  <c r="O53" i="13"/>
  <c r="G82" i="13"/>
  <c r="AK82" i="13" s="1"/>
  <c r="AL82" i="13" s="1"/>
  <c r="AK50" i="13"/>
  <c r="AL50" i="13" s="1"/>
  <c r="K81" i="13"/>
  <c r="O49" i="13"/>
  <c r="J48" i="13"/>
  <c r="AB48" i="13" s="1"/>
  <c r="G87" i="13"/>
  <c r="AK55" i="13"/>
  <c r="AL55" i="13" s="1"/>
  <c r="K86" i="13"/>
  <c r="O54" i="13"/>
  <c r="J53" i="13"/>
  <c r="AB53" i="13" s="1"/>
  <c r="T53" i="13" s="1"/>
  <c r="G83" i="13"/>
  <c r="AK83" i="13" s="1"/>
  <c r="AL83" i="13" s="1"/>
  <c r="AK51" i="13"/>
  <c r="AL51" i="13" s="1"/>
  <c r="K82" i="13"/>
  <c r="O50" i="13"/>
  <c r="J49" i="13"/>
  <c r="AB49" i="13" s="1"/>
  <c r="T49" i="13" s="1"/>
  <c r="J78" i="29"/>
  <c r="X78" i="29" s="1"/>
  <c r="W78" i="29"/>
  <c r="J100" i="29"/>
  <c r="W100" i="29"/>
  <c r="J108" i="29"/>
  <c r="X108" i="29" s="1"/>
  <c r="W108" i="29"/>
  <c r="J116" i="29"/>
  <c r="W116" i="29"/>
  <c r="J105" i="29"/>
  <c r="X105" i="29" s="1"/>
  <c r="W105" i="29"/>
  <c r="J153" i="29"/>
  <c r="X153" i="29" s="1"/>
  <c r="W153" i="29"/>
  <c r="J86" i="29"/>
  <c r="X86" i="29" s="1"/>
  <c r="W86" i="29"/>
  <c r="J154" i="29"/>
  <c r="X154" i="29" s="1"/>
  <c r="W154" i="29"/>
  <c r="K142" i="29"/>
  <c r="Y142" i="29" s="1"/>
  <c r="X142" i="29"/>
  <c r="Q153" i="29"/>
  <c r="Q154" i="29"/>
  <c r="K74" i="29"/>
  <c r="Q74" i="29"/>
  <c r="K104" i="29"/>
  <c r="Y104" i="29" s="1"/>
  <c r="Q104" i="29"/>
  <c r="Q85" i="29"/>
  <c r="J95" i="29"/>
  <c r="P95" i="29"/>
  <c r="J87" i="29"/>
  <c r="X87" i="29" s="1"/>
  <c r="P87" i="29"/>
  <c r="J79" i="29"/>
  <c r="X79" i="29" s="1"/>
  <c r="P79" i="29"/>
  <c r="P100" i="29"/>
  <c r="P108" i="29"/>
  <c r="P116" i="29"/>
  <c r="P92" i="29"/>
  <c r="P84" i="29"/>
  <c r="P76" i="29"/>
  <c r="P105" i="29"/>
  <c r="J113" i="29"/>
  <c r="X113" i="29" s="1"/>
  <c r="P113" i="29"/>
  <c r="K126" i="29"/>
  <c r="Y126" i="29" s="1"/>
  <c r="Q126" i="29"/>
  <c r="J71" i="29"/>
  <c r="X71" i="29" s="1"/>
  <c r="P71" i="29"/>
  <c r="J66" i="29"/>
  <c r="X66" i="29" s="1"/>
  <c r="P66" i="29"/>
  <c r="X62" i="29"/>
  <c r="P62" i="29"/>
  <c r="J117" i="29"/>
  <c r="X117" i="29" s="1"/>
  <c r="P117" i="29"/>
  <c r="P121" i="29"/>
  <c r="J125" i="29"/>
  <c r="X125" i="29" s="1"/>
  <c r="P125" i="29"/>
  <c r="J129" i="29"/>
  <c r="X129" i="29" s="1"/>
  <c r="P129" i="29"/>
  <c r="J133" i="29"/>
  <c r="X133" i="29" s="1"/>
  <c r="P133" i="29"/>
  <c r="P137" i="29"/>
  <c r="J141" i="29"/>
  <c r="X141" i="29" s="1"/>
  <c r="P141" i="29"/>
  <c r="P145" i="29"/>
  <c r="J149" i="29"/>
  <c r="X149" i="29" s="1"/>
  <c r="P149" i="29"/>
  <c r="P156" i="29"/>
  <c r="K78" i="29"/>
  <c r="Y78" i="29" s="1"/>
  <c r="Q78" i="29"/>
  <c r="Q116" i="29"/>
  <c r="Q100" i="29"/>
  <c r="P93" i="29"/>
  <c r="P85" i="29"/>
  <c r="P77" i="29"/>
  <c r="P102" i="29"/>
  <c r="P110" i="29"/>
  <c r="J90" i="29"/>
  <c r="P90" i="29"/>
  <c r="P82" i="29"/>
  <c r="P99" i="29"/>
  <c r="P107" i="29"/>
  <c r="P115" i="29"/>
  <c r="L118" i="29"/>
  <c r="Z118" i="29" s="1"/>
  <c r="R118" i="29"/>
  <c r="Q138" i="29"/>
  <c r="Q150" i="29"/>
  <c r="Q122" i="29"/>
  <c r="J69" i="29"/>
  <c r="P69" i="29"/>
  <c r="J65" i="29"/>
  <c r="X65" i="29" s="1"/>
  <c r="P65" i="29"/>
  <c r="X61" i="29"/>
  <c r="P61" i="29"/>
  <c r="P118" i="29"/>
  <c r="P122" i="29"/>
  <c r="P126" i="29"/>
  <c r="P130" i="29"/>
  <c r="P134" i="29"/>
  <c r="P138" i="29"/>
  <c r="P142" i="29"/>
  <c r="P146" i="29"/>
  <c r="P150" i="29"/>
  <c r="P153" i="29"/>
  <c r="J97" i="29"/>
  <c r="X97" i="29" s="1"/>
  <c r="P97" i="29"/>
  <c r="K105" i="29"/>
  <c r="Q105" i="29"/>
  <c r="K82" i="29"/>
  <c r="Y82" i="29" s="1"/>
  <c r="Q82" i="29"/>
  <c r="K112" i="29"/>
  <c r="Y112" i="29" s="1"/>
  <c r="Q112" i="29"/>
  <c r="Q77" i="29"/>
  <c r="P74" i="29"/>
  <c r="J91" i="29"/>
  <c r="X91" i="29" s="1"/>
  <c r="P91" i="29"/>
  <c r="J83" i="29"/>
  <c r="P83" i="29"/>
  <c r="J75" i="29"/>
  <c r="X75" i="29" s="1"/>
  <c r="P75" i="29"/>
  <c r="P104" i="29"/>
  <c r="P112" i="29"/>
  <c r="J96" i="29"/>
  <c r="X96" i="29" s="1"/>
  <c r="P96" i="29"/>
  <c r="J88" i="29"/>
  <c r="X88" i="29" s="1"/>
  <c r="P88" i="29"/>
  <c r="P80" i="29"/>
  <c r="P101" i="29"/>
  <c r="J109" i="29"/>
  <c r="P109" i="29"/>
  <c r="J72" i="29"/>
  <c r="X72" i="29" s="1"/>
  <c r="P72" i="29"/>
  <c r="R142" i="29"/>
  <c r="K134" i="29"/>
  <c r="Y134" i="29" s="1"/>
  <c r="Q134" i="29"/>
  <c r="K146" i="29"/>
  <c r="Y146" i="29" s="1"/>
  <c r="Q146" i="29"/>
  <c r="Q118" i="29"/>
  <c r="P68" i="29"/>
  <c r="P64" i="29"/>
  <c r="P60" i="29"/>
  <c r="J119" i="29"/>
  <c r="X119" i="29" s="1"/>
  <c r="P119" i="29"/>
  <c r="J123" i="29"/>
  <c r="X123" i="29" s="1"/>
  <c r="P123" i="29"/>
  <c r="J127" i="29"/>
  <c r="X127" i="29" s="1"/>
  <c r="P127" i="29"/>
  <c r="J131" i="29"/>
  <c r="X131" i="29" s="1"/>
  <c r="P131" i="29"/>
  <c r="J135" i="29"/>
  <c r="X135" i="29" s="1"/>
  <c r="P135" i="29"/>
  <c r="J139" i="29"/>
  <c r="X139" i="29" s="1"/>
  <c r="P139" i="29"/>
  <c r="J143" i="29"/>
  <c r="X143" i="29" s="1"/>
  <c r="P143" i="29"/>
  <c r="J147" i="29"/>
  <c r="X147" i="29" s="1"/>
  <c r="P147" i="29"/>
  <c r="J151" i="29"/>
  <c r="X151" i="29" s="1"/>
  <c r="P151" i="29"/>
  <c r="P154" i="29"/>
  <c r="K101" i="29"/>
  <c r="Y101" i="29" s="1"/>
  <c r="Q101" i="29"/>
  <c r="K86" i="29"/>
  <c r="Y86" i="29" s="1"/>
  <c r="Q86" i="29"/>
  <c r="K108" i="29"/>
  <c r="Y108" i="29" s="1"/>
  <c r="Q108" i="29"/>
  <c r="Q81" i="29"/>
  <c r="J89" i="29"/>
  <c r="X89" i="29" s="1"/>
  <c r="P89" i="29"/>
  <c r="P81" i="29"/>
  <c r="P98" i="29"/>
  <c r="J106" i="29"/>
  <c r="X106" i="29" s="1"/>
  <c r="P106" i="29"/>
  <c r="J114" i="29"/>
  <c r="P114" i="29"/>
  <c r="J94" i="29"/>
  <c r="X94" i="29" s="1"/>
  <c r="P94" i="29"/>
  <c r="P86" i="29"/>
  <c r="P78" i="29"/>
  <c r="J103" i="29"/>
  <c r="X103" i="29" s="1"/>
  <c r="P103" i="29"/>
  <c r="J111" i="29"/>
  <c r="X111" i="29" s="1"/>
  <c r="P111" i="29"/>
  <c r="P70" i="29"/>
  <c r="L150" i="29"/>
  <c r="Z150" i="29" s="1"/>
  <c r="R150" i="29"/>
  <c r="Q130" i="29"/>
  <c r="Q142" i="29"/>
  <c r="J73" i="29"/>
  <c r="X73" i="29" s="1"/>
  <c r="P73" i="29"/>
  <c r="J67" i="29"/>
  <c r="X67" i="29" s="1"/>
  <c r="P67" i="29"/>
  <c r="X63" i="29"/>
  <c r="P63" i="29"/>
  <c r="X59" i="29"/>
  <c r="P120" i="29"/>
  <c r="P124" i="29"/>
  <c r="P128" i="29"/>
  <c r="P132" i="29"/>
  <c r="P136" i="29"/>
  <c r="P140" i="29"/>
  <c r="P144" i="29"/>
  <c r="P148" i="29"/>
  <c r="J152" i="29"/>
  <c r="P152" i="29"/>
  <c r="P155" i="29"/>
  <c r="J99" i="29"/>
  <c r="X99" i="29" s="1"/>
  <c r="J46" i="24"/>
  <c r="J162" i="24"/>
  <c r="J161" i="24"/>
  <c r="J45" i="24"/>
  <c r="J44" i="24"/>
  <c r="J160" i="24"/>
  <c r="L104" i="29"/>
  <c r="Z104" i="29" s="1"/>
  <c r="J121" i="29"/>
  <c r="X121" i="29" s="1"/>
  <c r="J92" i="29"/>
  <c r="X92" i="29" s="1"/>
  <c r="L126" i="29"/>
  <c r="Z126" i="29" s="1"/>
  <c r="K96" i="29"/>
  <c r="Y96" i="29" s="1"/>
  <c r="K103" i="29"/>
  <c r="Y103" i="29" s="1"/>
  <c r="K88" i="29"/>
  <c r="Y88" i="29" s="1"/>
  <c r="J145" i="29"/>
  <c r="X145" i="29" s="1"/>
  <c r="J137" i="29"/>
  <c r="X137" i="29" s="1"/>
  <c r="H32" i="49"/>
  <c r="N109" i="35"/>
  <c r="I32" i="49"/>
  <c r="O109" i="35"/>
  <c r="G32" i="49"/>
  <c r="M109" i="35"/>
  <c r="G9" i="44"/>
  <c r="G10" i="43"/>
  <c r="I20" i="24"/>
  <c r="O9" i="36"/>
  <c r="Q8" i="36" s="1"/>
  <c r="Q24" i="36" s="1"/>
  <c r="C139" i="22"/>
  <c r="N101" i="43"/>
  <c r="AI16" i="43"/>
  <c r="AJ16" i="43" s="1"/>
  <c r="AK16" i="43" s="1"/>
  <c r="AL16" i="43" s="1"/>
  <c r="N91" i="43"/>
  <c r="N119" i="43"/>
  <c r="N117" i="43"/>
  <c r="N53" i="43"/>
  <c r="N125" i="43"/>
  <c r="N111" i="43"/>
  <c r="N109" i="43"/>
  <c r="N85" i="43"/>
  <c r="N69" i="43"/>
  <c r="K85" i="43"/>
  <c r="L85" i="43" s="1"/>
  <c r="Q85" i="43"/>
  <c r="K109" i="43"/>
  <c r="L109" i="43" s="1"/>
  <c r="Q109" i="43"/>
  <c r="R71" i="43"/>
  <c r="L71" i="43"/>
  <c r="S120" i="43"/>
  <c r="R117" i="43"/>
  <c r="L117" i="43"/>
  <c r="S59" i="43"/>
  <c r="R65" i="43"/>
  <c r="L65" i="43"/>
  <c r="R79" i="43"/>
  <c r="K91" i="43"/>
  <c r="L91" i="43" s="1"/>
  <c r="Q91" i="43"/>
  <c r="S113" i="43"/>
  <c r="K137" i="43"/>
  <c r="L137" i="43" s="1"/>
  <c r="Q137" i="43"/>
  <c r="K121" i="43"/>
  <c r="Q121" i="43"/>
  <c r="P127" i="43"/>
  <c r="P103" i="43"/>
  <c r="P73" i="43"/>
  <c r="P76" i="43"/>
  <c r="P114" i="43"/>
  <c r="P44" i="43"/>
  <c r="K119" i="43"/>
  <c r="L119" i="43" s="1"/>
  <c r="Q119" i="43"/>
  <c r="Q123" i="43"/>
  <c r="Q79" i="43"/>
  <c r="Q120" i="43"/>
  <c r="K55" i="43"/>
  <c r="Q55" i="43"/>
  <c r="K95" i="43"/>
  <c r="L95" i="43" s="1"/>
  <c r="Q95" i="43"/>
  <c r="K81" i="43"/>
  <c r="L81" i="43" s="1"/>
  <c r="Q81" i="43"/>
  <c r="K99" i="43"/>
  <c r="L99" i="43" s="1"/>
  <c r="Q99" i="43"/>
  <c r="Q59" i="43"/>
  <c r="K69" i="43"/>
  <c r="L69" i="43" s="1"/>
  <c r="Q69" i="43"/>
  <c r="K49" i="43"/>
  <c r="L49" i="43" s="1"/>
  <c r="Q49" i="43"/>
  <c r="K53" i="43"/>
  <c r="L53" i="43" s="1"/>
  <c r="Q53" i="43"/>
  <c r="K133" i="43"/>
  <c r="L133" i="43" s="1"/>
  <c r="Q133" i="43"/>
  <c r="K89" i="43"/>
  <c r="L89" i="43" s="1"/>
  <c r="Q89" i="43"/>
  <c r="Q113" i="43"/>
  <c r="P88" i="43"/>
  <c r="P55" i="43"/>
  <c r="P120" i="43"/>
  <c r="P61" i="43"/>
  <c r="P125" i="43"/>
  <c r="P59" i="43"/>
  <c r="P99" i="43"/>
  <c r="P83" i="43"/>
  <c r="S106" i="43"/>
  <c r="P113" i="43"/>
  <c r="P45" i="43"/>
  <c r="R106" i="43"/>
  <c r="P89" i="43"/>
  <c r="P128" i="43"/>
  <c r="P49" i="43"/>
  <c r="K118" i="43"/>
  <c r="Q118" i="43"/>
  <c r="P112" i="43"/>
  <c r="J102" i="43"/>
  <c r="K102" i="43" s="1"/>
  <c r="P102" i="43"/>
  <c r="P64" i="43"/>
  <c r="P52" i="43"/>
  <c r="S122" i="43"/>
  <c r="R123" i="43"/>
  <c r="K47" i="43"/>
  <c r="Q47" i="43"/>
  <c r="K63" i="43"/>
  <c r="Q63" i="43"/>
  <c r="R59" i="43"/>
  <c r="K41" i="43"/>
  <c r="Q41" i="43"/>
  <c r="Q93" i="43"/>
  <c r="P107" i="43"/>
  <c r="P126" i="43"/>
  <c r="P129" i="43"/>
  <c r="P87" i="43"/>
  <c r="P121" i="43"/>
  <c r="J76" i="43"/>
  <c r="P105" i="43"/>
  <c r="S115" i="43"/>
  <c r="S136" i="43"/>
  <c r="R115" i="43"/>
  <c r="J107" i="43"/>
  <c r="K84" i="43"/>
  <c r="Q84" i="43"/>
  <c r="R136" i="43"/>
  <c r="Q71" i="43"/>
  <c r="J103" i="43"/>
  <c r="Q117" i="43"/>
  <c r="K61" i="43"/>
  <c r="L61" i="43" s="1"/>
  <c r="Q61" i="43"/>
  <c r="R122" i="43"/>
  <c r="R67" i="43"/>
  <c r="J127" i="43"/>
  <c r="S101" i="43"/>
  <c r="R101" i="43"/>
  <c r="P123" i="43"/>
  <c r="J105" i="43"/>
  <c r="P119" i="43"/>
  <c r="K45" i="43"/>
  <c r="L45" i="43" s="1"/>
  <c r="Q45" i="43"/>
  <c r="Q65" i="43"/>
  <c r="P84" i="43"/>
  <c r="P47" i="43"/>
  <c r="P81" i="43"/>
  <c r="P117" i="43"/>
  <c r="P51" i="43"/>
  <c r="P95" i="43"/>
  <c r="P71" i="43"/>
  <c r="P41" i="43"/>
  <c r="P53" i="43"/>
  <c r="Q106" i="43"/>
  <c r="P97" i="43"/>
  <c r="P133" i="43"/>
  <c r="P57" i="43"/>
  <c r="P104" i="43"/>
  <c r="P134" i="43"/>
  <c r="P131" i="43"/>
  <c r="P118" i="43"/>
  <c r="P109" i="43"/>
  <c r="J108" i="43"/>
  <c r="P108" i="43"/>
  <c r="P106" i="43"/>
  <c r="P68" i="43"/>
  <c r="S123" i="43"/>
  <c r="K111" i="43"/>
  <c r="Q111" i="43"/>
  <c r="R120" i="43"/>
  <c r="Q87" i="43"/>
  <c r="Q129" i="43"/>
  <c r="K125" i="43"/>
  <c r="Q125" i="43"/>
  <c r="K57" i="43"/>
  <c r="L57" i="43" s="1"/>
  <c r="Q57" i="43"/>
  <c r="K97" i="43"/>
  <c r="L97" i="43" s="1"/>
  <c r="Q97" i="43"/>
  <c r="R113" i="43"/>
  <c r="P75" i="43"/>
  <c r="P63" i="43"/>
  <c r="K68" i="43"/>
  <c r="Q68" i="43"/>
  <c r="P85" i="43"/>
  <c r="K72" i="43"/>
  <c r="Q72" i="43"/>
  <c r="P72" i="43"/>
  <c r="K64" i="43"/>
  <c r="L64" i="43" s="1"/>
  <c r="Q64" i="43"/>
  <c r="S67" i="43"/>
  <c r="L79" i="43"/>
  <c r="Q115" i="43"/>
  <c r="J126" i="43"/>
  <c r="K88" i="43"/>
  <c r="L88" i="43" s="1"/>
  <c r="Q88" i="43"/>
  <c r="Q136" i="43"/>
  <c r="J75" i="43"/>
  <c r="K87" i="43"/>
  <c r="K51" i="43"/>
  <c r="Q51" i="43"/>
  <c r="K129" i="43"/>
  <c r="K83" i="43"/>
  <c r="L83" i="43" s="1"/>
  <c r="Q83" i="43"/>
  <c r="Q122" i="43"/>
  <c r="Q67" i="43"/>
  <c r="J73" i="43"/>
  <c r="Q101" i="43"/>
  <c r="P115" i="43"/>
  <c r="K93" i="43"/>
  <c r="P111" i="43"/>
  <c r="K128" i="43"/>
  <c r="L128" i="43" s="1"/>
  <c r="Q128" i="43"/>
  <c r="P79" i="43"/>
  <c r="P136" i="43"/>
  <c r="P69" i="43"/>
  <c r="P67" i="43"/>
  <c r="P122" i="43"/>
  <c r="P91" i="43"/>
  <c r="J77" i="43"/>
  <c r="K77" i="43" s="1"/>
  <c r="P77" i="43"/>
  <c r="P93" i="43"/>
  <c r="K52" i="43"/>
  <c r="Q52" i="43"/>
  <c r="P101" i="43"/>
  <c r="P137" i="43"/>
  <c r="P65" i="43"/>
  <c r="P124" i="43"/>
  <c r="P138" i="43"/>
  <c r="I88" i="53"/>
  <c r="J88" i="53" s="1"/>
  <c r="J32" i="53"/>
  <c r="K32" i="53" s="1"/>
  <c r="L32" i="53" s="1"/>
  <c r="I84" i="53"/>
  <c r="J84" i="53" s="1"/>
  <c r="I100" i="53"/>
  <c r="I52" i="53"/>
  <c r="J52" i="53" s="1"/>
  <c r="N60" i="53"/>
  <c r="I116" i="53"/>
  <c r="N112" i="53"/>
  <c r="N40" i="53"/>
  <c r="I96" i="53"/>
  <c r="I132" i="53"/>
  <c r="I93" i="53"/>
  <c r="J93" i="53" s="1"/>
  <c r="N129" i="53"/>
  <c r="N33" i="53"/>
  <c r="J109" i="53"/>
  <c r="I89" i="53"/>
  <c r="I33" i="53"/>
  <c r="J33" i="53" s="1"/>
  <c r="J128" i="53"/>
  <c r="J129" i="53"/>
  <c r="N125" i="53"/>
  <c r="N128" i="53"/>
  <c r="N104" i="53"/>
  <c r="N65" i="53"/>
  <c r="N32" i="53"/>
  <c r="I112" i="53"/>
  <c r="N96" i="53"/>
  <c r="N56" i="53"/>
  <c r="N57" i="53"/>
  <c r="J40" i="53"/>
  <c r="K40" i="53" s="1"/>
  <c r="L40" i="53" s="1"/>
  <c r="I120" i="53"/>
  <c r="N109" i="53"/>
  <c r="N49" i="53"/>
  <c r="N41" i="53"/>
  <c r="N84" i="53"/>
  <c r="N76" i="53"/>
  <c r="I105" i="53"/>
  <c r="J105" i="53" s="1"/>
  <c r="N37" i="53"/>
  <c r="J25" i="53"/>
  <c r="K25" i="53" s="1"/>
  <c r="N117" i="53"/>
  <c r="N88" i="53"/>
  <c r="N72" i="53"/>
  <c r="I80" i="53"/>
  <c r="N24" i="53"/>
  <c r="N25" i="53"/>
  <c r="I77" i="53"/>
  <c r="N105" i="53"/>
  <c r="N80" i="53"/>
  <c r="N77" i="53"/>
  <c r="N21" i="53"/>
  <c r="L25" i="53"/>
  <c r="J133" i="53"/>
  <c r="K133" i="53" s="1"/>
  <c r="J92" i="53"/>
  <c r="K88" i="53"/>
  <c r="J45" i="53"/>
  <c r="K45" i="53" s="1"/>
  <c r="J61" i="53"/>
  <c r="K61" i="53" s="1"/>
  <c r="N113" i="53"/>
  <c r="N136" i="53"/>
  <c r="N61" i="53"/>
  <c r="N45" i="53"/>
  <c r="I73" i="53"/>
  <c r="J73" i="53" s="1"/>
  <c r="I53" i="53"/>
  <c r="O53" i="53" s="1"/>
  <c r="N116" i="53"/>
  <c r="N100" i="53"/>
  <c r="N68" i="53"/>
  <c r="N52" i="53"/>
  <c r="N20" i="53"/>
  <c r="I68" i="53"/>
  <c r="J68" i="53" s="1"/>
  <c r="I136" i="53"/>
  <c r="O136" i="53" s="1"/>
  <c r="I113" i="53"/>
  <c r="J113" i="53" s="1"/>
  <c r="I85" i="53"/>
  <c r="O85" i="53" s="1"/>
  <c r="J29" i="53"/>
  <c r="I119" i="53"/>
  <c r="O119" i="53" s="1"/>
  <c r="I107" i="53"/>
  <c r="O107" i="53" s="1"/>
  <c r="N119" i="53"/>
  <c r="J116" i="53"/>
  <c r="K116" i="53" s="1"/>
  <c r="I121" i="53"/>
  <c r="I64" i="53"/>
  <c r="J64" i="53" s="1"/>
  <c r="J56" i="53"/>
  <c r="I48" i="53"/>
  <c r="N16" i="53"/>
  <c r="I16" i="53"/>
  <c r="I36" i="53"/>
  <c r="O36" i="53" s="1"/>
  <c r="N36" i="53"/>
  <c r="I97" i="53"/>
  <c r="O97" i="53" s="1"/>
  <c r="N95" i="53"/>
  <c r="N71" i="53"/>
  <c r="O16" i="53"/>
  <c r="J77" i="53"/>
  <c r="I108" i="53"/>
  <c r="O108" i="53" s="1"/>
  <c r="J57" i="53"/>
  <c r="J41" i="53"/>
  <c r="N29" i="53"/>
  <c r="N127" i="53"/>
  <c r="N107" i="53"/>
  <c r="N69" i="53"/>
  <c r="N110" i="53"/>
  <c r="J106" i="53"/>
  <c r="I42" i="53"/>
  <c r="O42" i="53" s="1"/>
  <c r="I28" i="53"/>
  <c r="O28" i="53" s="1"/>
  <c r="N106" i="53"/>
  <c r="N42" i="53"/>
  <c r="J96" i="53"/>
  <c r="K104" i="53"/>
  <c r="J76" i="53"/>
  <c r="J24" i="53"/>
  <c r="J72" i="53"/>
  <c r="K49" i="53"/>
  <c r="I101" i="53"/>
  <c r="O101" i="53" s="1"/>
  <c r="I71" i="53"/>
  <c r="O71" i="53" s="1"/>
  <c r="I81" i="53"/>
  <c r="I137" i="53"/>
  <c r="O137" i="53" s="1"/>
  <c r="I31" i="53"/>
  <c r="O31" i="53" s="1"/>
  <c r="AF141" i="53"/>
  <c r="AF12" i="53" s="1"/>
  <c r="M78" i="31"/>
  <c r="N78" i="31" s="1"/>
  <c r="L127" i="31"/>
  <c r="M213" i="31"/>
  <c r="L167" i="31"/>
  <c r="M167" i="31" s="1"/>
  <c r="N167" i="31" s="1"/>
  <c r="O167" i="31" s="1"/>
  <c r="M191" i="31"/>
  <c r="N191" i="31" s="1"/>
  <c r="O191" i="31" s="1"/>
  <c r="M146" i="31"/>
  <c r="L152" i="31"/>
  <c r="L207" i="31"/>
  <c r="L87" i="31"/>
  <c r="M172" i="31"/>
  <c r="N172" i="31" s="1"/>
  <c r="L161" i="31"/>
  <c r="M181" i="31"/>
  <c r="N181" i="31" s="1"/>
  <c r="O181" i="31" s="1"/>
  <c r="L193" i="31"/>
  <c r="N177" i="31"/>
  <c r="L203" i="31"/>
  <c r="M203" i="31" s="1"/>
  <c r="N203" i="31" s="1"/>
  <c r="O203" i="31" s="1"/>
  <c r="N156" i="31"/>
  <c r="M86" i="31"/>
  <c r="I61" i="31"/>
  <c r="K69" i="31"/>
  <c r="L69" i="31" s="1"/>
  <c r="M69" i="31" s="1"/>
  <c r="N69" i="31" s="1"/>
  <c r="O69" i="31" s="1"/>
  <c r="J241" i="31"/>
  <c r="L112" i="29"/>
  <c r="Z112" i="29" s="1"/>
  <c r="K117" i="29"/>
  <c r="Y117" i="29" s="1"/>
  <c r="K125" i="29"/>
  <c r="Y125" i="29" s="1"/>
  <c r="K133" i="29"/>
  <c r="Y133" i="29" s="1"/>
  <c r="K141" i="29"/>
  <c r="Y141" i="29" s="1"/>
  <c r="K75" i="29"/>
  <c r="Y75" i="29" s="1"/>
  <c r="L101" i="29"/>
  <c r="Z101" i="29" s="1"/>
  <c r="K85" i="29"/>
  <c r="Y85" i="29" s="1"/>
  <c r="L142" i="29"/>
  <c r="Z142" i="29" s="1"/>
  <c r="F175" i="24"/>
  <c r="F191" i="24"/>
  <c r="F239" i="24"/>
  <c r="F215" i="24"/>
  <c r="F231" i="24"/>
  <c r="F247" i="24"/>
  <c r="F163" i="24"/>
  <c r="F219" i="24"/>
  <c r="C5" i="38"/>
  <c r="C5" i="24"/>
  <c r="I35" i="31"/>
  <c r="L153" i="31"/>
  <c r="K186" i="31"/>
  <c r="K198" i="31"/>
  <c r="K202" i="31"/>
  <c r="K132" i="31"/>
  <c r="K131" i="31"/>
  <c r="K32" i="31" s="1"/>
  <c r="F246" i="24"/>
  <c r="F238" i="24"/>
  <c r="F234" i="24"/>
  <c r="F226" i="24"/>
  <c r="F222" i="24"/>
  <c r="F214" i="24"/>
  <c r="F210" i="24"/>
  <c r="F206" i="24"/>
  <c r="F202" i="24"/>
  <c r="F198" i="24"/>
  <c r="F194" i="24"/>
  <c r="F190" i="24"/>
  <c r="F186" i="24"/>
  <c r="F182" i="24"/>
  <c r="F178" i="24"/>
  <c r="F170" i="24"/>
  <c r="K103" i="31"/>
  <c r="K158" i="31"/>
  <c r="L158" i="31" s="1"/>
  <c r="K162" i="31"/>
  <c r="K166" i="31"/>
  <c r="K182" i="31"/>
  <c r="K133" i="31"/>
  <c r="K72" i="31"/>
  <c r="K111" i="31"/>
  <c r="K236" i="31"/>
  <c r="O196" i="31"/>
  <c r="N73" i="31"/>
  <c r="O73" i="31" s="1"/>
  <c r="O78" i="31"/>
  <c r="O151" i="31"/>
  <c r="M157" i="31"/>
  <c r="M71" i="31"/>
  <c r="L201" i="31"/>
  <c r="L183" i="31"/>
  <c r="L192" i="31"/>
  <c r="L76" i="31"/>
  <c r="L126" i="31"/>
  <c r="L238" i="31"/>
  <c r="N128" i="31"/>
  <c r="N188" i="31"/>
  <c r="N211" i="31"/>
  <c r="M127" i="31"/>
  <c r="M192" i="31"/>
  <c r="N213" i="31"/>
  <c r="N163" i="31"/>
  <c r="M102" i="31"/>
  <c r="M148" i="31"/>
  <c r="L101" i="31"/>
  <c r="L147" i="31"/>
  <c r="L173" i="31"/>
  <c r="L168" i="31"/>
  <c r="K218" i="31"/>
  <c r="J33" i="31"/>
  <c r="K226" i="31"/>
  <c r="J32" i="31"/>
  <c r="L176" i="31"/>
  <c r="N212" i="31"/>
  <c r="M207" i="31"/>
  <c r="M77" i="31"/>
  <c r="L187" i="31"/>
  <c r="M197" i="31"/>
  <c r="M171" i="31"/>
  <c r="L208" i="31"/>
  <c r="L222" i="31"/>
  <c r="J34" i="31"/>
  <c r="K216" i="31"/>
  <c r="K227" i="31"/>
  <c r="K178" i="31"/>
  <c r="K206" i="31"/>
  <c r="K232" i="31"/>
  <c r="L231" i="31"/>
  <c r="K228" i="31"/>
  <c r="K221" i="31"/>
  <c r="K233" i="31"/>
  <c r="G79" i="13"/>
  <c r="I19" i="31"/>
  <c r="I41" i="31" s="1"/>
  <c r="H134" i="22"/>
  <c r="H136" i="22"/>
  <c r="H135" i="22"/>
  <c r="F42" i="37"/>
  <c r="G15" i="37" s="1"/>
  <c r="G42" i="37" s="1"/>
  <c r="H15" i="37" s="1"/>
  <c r="H42" i="37" s="1"/>
  <c r="I15" i="37" s="1"/>
  <c r="I42" i="37" s="1"/>
  <c r="J15" i="37" s="1"/>
  <c r="J42" i="37" s="1"/>
  <c r="K15" i="37" s="1"/>
  <c r="K42" i="37" s="1"/>
  <c r="L15" i="37" s="1"/>
  <c r="L42" i="37" s="1"/>
  <c r="M15" i="37" s="1"/>
  <c r="M42" i="37" s="1"/>
  <c r="N15" i="37" s="1"/>
  <c r="N42" i="37" s="1"/>
  <c r="E67" i="22"/>
  <c r="H50" i="29"/>
  <c r="J8" i="35"/>
  <c r="J104" i="35" s="1"/>
  <c r="G25" i="44"/>
  <c r="H8" i="18"/>
  <c r="H79" i="18" s="1"/>
  <c r="F4" i="22"/>
  <c r="I8" i="39"/>
  <c r="I61" i="39" s="1"/>
  <c r="H15" i="22"/>
  <c r="I15" i="22" s="1"/>
  <c r="O104" i="53"/>
  <c r="E131" i="22"/>
  <c r="F130" i="22"/>
  <c r="G130" i="22" s="1"/>
  <c r="G95" i="22"/>
  <c r="D92" i="22"/>
  <c r="AJ80" i="13"/>
  <c r="AJ62" i="13"/>
  <c r="AJ87" i="13"/>
  <c r="AJ63" i="13"/>
  <c r="AJ59" i="13"/>
  <c r="AJ53" i="13"/>
  <c r="AJ49" i="13"/>
  <c r="AJ85" i="13"/>
  <c r="AJ66" i="13"/>
  <c r="T48" i="13"/>
  <c r="AJ48" i="13"/>
  <c r="I91" i="13"/>
  <c r="I81" i="13"/>
  <c r="AJ92" i="13"/>
  <c r="AJ64" i="13"/>
  <c r="AJ60" i="13"/>
  <c r="T54" i="13"/>
  <c r="AJ54" i="13"/>
  <c r="T50" i="13"/>
  <c r="AJ50" i="13"/>
  <c r="AJ98" i="13"/>
  <c r="AJ58" i="13"/>
  <c r="AJ52" i="13"/>
  <c r="I95" i="13"/>
  <c r="I84" i="13"/>
  <c r="AB84" i="13" s="1"/>
  <c r="AJ96" i="13"/>
  <c r="AJ65" i="13"/>
  <c r="AJ61" i="13"/>
  <c r="AJ57" i="13"/>
  <c r="AJ56" i="13"/>
  <c r="AJ55" i="13"/>
  <c r="AJ51" i="13"/>
  <c r="E79" i="13"/>
  <c r="E111" i="13" s="1"/>
  <c r="E143" i="13" s="1"/>
  <c r="J47" i="13"/>
  <c r="J25" i="31"/>
  <c r="J27" i="31" s="1"/>
  <c r="I27" i="31"/>
  <c r="C5" i="51"/>
  <c r="C5" i="37"/>
  <c r="C5" i="35"/>
  <c r="C5" i="48"/>
  <c r="C5" i="44"/>
  <c r="C5" i="49"/>
  <c r="K87" i="29"/>
  <c r="Y87" i="29" s="1"/>
  <c r="K97" i="29"/>
  <c r="Y97" i="29" s="1"/>
  <c r="L108" i="29"/>
  <c r="Z108" i="29" s="1"/>
  <c r="Y63" i="29"/>
  <c r="L78" i="29"/>
  <c r="Z78" i="29" s="1"/>
  <c r="L86" i="29"/>
  <c r="Z86" i="29" s="1"/>
  <c r="K66" i="29"/>
  <c r="Y66" i="29" s="1"/>
  <c r="Y62" i="29"/>
  <c r="K113" i="29"/>
  <c r="Y113" i="29" s="1"/>
  <c r="I52" i="29"/>
  <c r="I158" i="29"/>
  <c r="I54" i="29" s="1"/>
  <c r="J107" i="29"/>
  <c r="X107" i="29" s="1"/>
  <c r="J120" i="29"/>
  <c r="X120" i="29" s="1"/>
  <c r="J132" i="29"/>
  <c r="X132" i="29" s="1"/>
  <c r="J144" i="29"/>
  <c r="X144" i="29" s="1"/>
  <c r="J155" i="29"/>
  <c r="X155" i="29" s="1"/>
  <c r="K91" i="29"/>
  <c r="Y91" i="29" s="1"/>
  <c r="J110" i="29"/>
  <c r="X110" i="29" s="1"/>
  <c r="X64" i="29"/>
  <c r="J128" i="29"/>
  <c r="X128" i="29" s="1"/>
  <c r="J136" i="29"/>
  <c r="X136" i="29" s="1"/>
  <c r="J148" i="29"/>
  <c r="X148" i="29" s="1"/>
  <c r="K77" i="29"/>
  <c r="Y77" i="29" s="1"/>
  <c r="J98" i="29"/>
  <c r="X98" i="29" s="1"/>
  <c r="J84" i="29"/>
  <c r="X84" i="29" s="1"/>
  <c r="J80" i="29"/>
  <c r="X80" i="29" s="1"/>
  <c r="J76" i="29"/>
  <c r="X76" i="29" s="1"/>
  <c r="K71" i="29"/>
  <c r="Y71" i="29" s="1"/>
  <c r="J68" i="29"/>
  <c r="X68" i="29" s="1"/>
  <c r="X60" i="29"/>
  <c r="J115" i="29"/>
  <c r="X115" i="29" s="1"/>
  <c r="J124" i="29"/>
  <c r="X124" i="29" s="1"/>
  <c r="J140" i="29"/>
  <c r="X140" i="29" s="1"/>
  <c r="K81" i="29"/>
  <c r="Y81" i="29" s="1"/>
  <c r="J102" i="29"/>
  <c r="X102" i="29" s="1"/>
  <c r="J70" i="29"/>
  <c r="X70" i="29" s="1"/>
  <c r="K145" i="29"/>
  <c r="Y145" i="29" s="1"/>
  <c r="K138" i="29"/>
  <c r="Y138" i="29" s="1"/>
  <c r="K130" i="29"/>
  <c r="Y130" i="29" s="1"/>
  <c r="K154" i="29"/>
  <c r="Y154" i="29" s="1"/>
  <c r="K122" i="29"/>
  <c r="Y122" i="29" s="1"/>
  <c r="K67" i="29"/>
  <c r="Y67" i="29" s="1"/>
  <c r="K65" i="29"/>
  <c r="Y65" i="29" s="1"/>
  <c r="Q59" i="29"/>
  <c r="Y59" i="29"/>
  <c r="I53" i="29"/>
  <c r="O41" i="53"/>
  <c r="O49" i="53"/>
  <c r="O25" i="53"/>
  <c r="O52" i="29"/>
  <c r="O11" i="29" s="1"/>
  <c r="I145" i="18" s="1"/>
  <c r="O32" i="53"/>
  <c r="O133" i="53"/>
  <c r="O93" i="53"/>
  <c r="O77" i="53"/>
  <c r="O57" i="53"/>
  <c r="O45" i="53"/>
  <c r="O92" i="53"/>
  <c r="O76" i="53"/>
  <c r="O17" i="53"/>
  <c r="O100" i="53"/>
  <c r="O65" i="53"/>
  <c r="O56" i="53"/>
  <c r="O40" i="53"/>
  <c r="O24" i="53"/>
  <c r="O128" i="53"/>
  <c r="O106" i="53"/>
  <c r="O129" i="53"/>
  <c r="O109" i="53"/>
  <c r="O61" i="53"/>
  <c r="O96" i="53"/>
  <c r="O88" i="53"/>
  <c r="O80" i="53"/>
  <c r="O72" i="53"/>
  <c r="O52" i="53"/>
  <c r="O29" i="53"/>
  <c r="I79" i="13"/>
  <c r="AJ47" i="13"/>
  <c r="K79" i="13"/>
  <c r="O47" i="13"/>
  <c r="I130" i="13"/>
  <c r="K119" i="13"/>
  <c r="K154" i="13"/>
  <c r="I97" i="13"/>
  <c r="I88" i="13"/>
  <c r="E84" i="13"/>
  <c r="J84" i="13" s="1"/>
  <c r="E115" i="13"/>
  <c r="I86" i="13"/>
  <c r="E86" i="13"/>
  <c r="E97" i="13"/>
  <c r="E129" i="13" s="1"/>
  <c r="K126" i="13"/>
  <c r="G115" i="13"/>
  <c r="AK115" i="13" s="1"/>
  <c r="AL115" i="13" s="1"/>
  <c r="K184" i="13"/>
  <c r="K216" i="13" s="1"/>
  <c r="K248" i="13" s="1"/>
  <c r="K280" i="13" s="1"/>
  <c r="G157" i="13"/>
  <c r="G130" i="13"/>
  <c r="G184" i="13"/>
  <c r="I117" i="13"/>
  <c r="I127" i="13"/>
  <c r="I83" i="13"/>
  <c r="E82" i="13"/>
  <c r="G153" i="13"/>
  <c r="I82" i="13"/>
  <c r="E93" i="13"/>
  <c r="E125" i="13" s="1"/>
  <c r="L63" i="43"/>
  <c r="O172" i="31"/>
  <c r="L111" i="43"/>
  <c r="L51" i="43"/>
  <c r="L121" i="43"/>
  <c r="J114" i="43"/>
  <c r="J104" i="43"/>
  <c r="I139" i="43"/>
  <c r="J112" i="43"/>
  <c r="J124" i="43"/>
  <c r="J134" i="43"/>
  <c r="J131" i="43"/>
  <c r="I130" i="43"/>
  <c r="I110" i="43"/>
  <c r="I100" i="43"/>
  <c r="I60" i="43"/>
  <c r="J44" i="43"/>
  <c r="J138" i="43"/>
  <c r="I116" i="43"/>
  <c r="I96" i="43"/>
  <c r="I80" i="43"/>
  <c r="I56" i="43"/>
  <c r="I48" i="43"/>
  <c r="E258" i="13"/>
  <c r="I135" i="43"/>
  <c r="I132" i="43"/>
  <c r="I92" i="43"/>
  <c r="G187" i="13"/>
  <c r="L217" i="31"/>
  <c r="L223" i="31"/>
  <c r="L237" i="31"/>
  <c r="F40" i="1"/>
  <c r="K26" i="35"/>
  <c r="I120" i="13"/>
  <c r="I90" i="13"/>
  <c r="E90" i="13"/>
  <c r="O20" i="53"/>
  <c r="J20" i="53"/>
  <c r="J21" i="53"/>
  <c r="O21" i="53"/>
  <c r="C5" i="40"/>
  <c r="C5" i="18"/>
  <c r="C5" i="13"/>
  <c r="C5" i="31"/>
  <c r="I124" i="13"/>
  <c r="I94" i="13"/>
  <c r="E80" i="13"/>
  <c r="J80" i="13" s="1"/>
  <c r="AB80" i="13" s="1"/>
  <c r="O124" i="53"/>
  <c r="J124" i="53"/>
  <c r="I112" i="13"/>
  <c r="K72" i="29"/>
  <c r="Y72" i="29" s="1"/>
  <c r="L65" i="53"/>
  <c r="Q65" i="53"/>
  <c r="C6" i="36"/>
  <c r="C49" i="38"/>
  <c r="C5" i="39"/>
  <c r="I119" i="13"/>
  <c r="J117" i="53"/>
  <c r="O117" i="53"/>
  <c r="J110" i="53"/>
  <c r="O110" i="53"/>
  <c r="J60" i="53"/>
  <c r="O60" i="53"/>
  <c r="O44" i="53"/>
  <c r="J44" i="53"/>
  <c r="J80" i="53"/>
  <c r="I125" i="53"/>
  <c r="I103" i="53"/>
  <c r="I95" i="53"/>
  <c r="I69" i="53"/>
  <c r="I37" i="53"/>
  <c r="J93" i="29"/>
  <c r="X93" i="29" s="1"/>
  <c r="M252" i="18"/>
  <c r="AG15" i="53"/>
  <c r="J156" i="29"/>
  <c r="X156" i="29" s="1"/>
  <c r="K153" i="29"/>
  <c r="Y153" i="29" s="1"/>
  <c r="E84" i="22"/>
  <c r="I155" i="24"/>
  <c r="E41" i="22"/>
  <c r="H143" i="18"/>
  <c r="H172" i="18" s="1"/>
  <c r="F8" i="40"/>
  <c r="H222" i="18"/>
  <c r="P35" i="13"/>
  <c r="I241" i="31"/>
  <c r="I37" i="31" s="1"/>
  <c r="F41" i="37"/>
  <c r="G14" i="37" s="1"/>
  <c r="G41" i="37" s="1"/>
  <c r="H14" i="37" s="1"/>
  <c r="H41" i="37" s="1"/>
  <c r="I14" i="37" s="1"/>
  <c r="I41" i="37" s="1"/>
  <c r="K19" i="31"/>
  <c r="L19" i="31" s="1"/>
  <c r="M19" i="31" s="1"/>
  <c r="J61" i="31"/>
  <c r="F39" i="37"/>
  <c r="G12" i="37" s="1"/>
  <c r="G39" i="37" s="1"/>
  <c r="G68" i="39" s="1"/>
  <c r="F16" i="1"/>
  <c r="H16" i="1"/>
  <c r="I16" i="1" s="1"/>
  <c r="J16" i="1" s="1"/>
  <c r="K16" i="1" s="1"/>
  <c r="L16" i="1" s="1"/>
  <c r="Q36" i="36"/>
  <c r="Q51" i="36"/>
  <c r="O38" i="36"/>
  <c r="O70" i="36"/>
  <c r="Q31" i="36"/>
  <c r="O41" i="36"/>
  <c r="Q48" i="36"/>
  <c r="F32" i="49"/>
  <c r="Q32" i="53"/>
  <c r="Q17" i="53"/>
  <c r="P17" i="53"/>
  <c r="P32" i="53"/>
  <c r="P49" i="53"/>
  <c r="P65" i="53"/>
  <c r="P88" i="53"/>
  <c r="P104" i="53"/>
  <c r="I165" i="18"/>
  <c r="I252" i="18"/>
  <c r="J32" i="49"/>
  <c r="K165" i="18"/>
  <c r="K252" i="18"/>
  <c r="E30" i="22"/>
  <c r="J16" i="28"/>
  <c r="J20" i="28"/>
  <c r="G14" i="49"/>
  <c r="G34" i="38"/>
  <c r="G36" i="38" s="1"/>
  <c r="I33" i="39"/>
  <c r="J33" i="39" s="1"/>
  <c r="K33" i="39" s="1"/>
  <c r="L33" i="39" s="1"/>
  <c r="M33" i="39" s="1"/>
  <c r="N33" i="39" s="1"/>
  <c r="J33" i="38"/>
  <c r="I77" i="38" s="1"/>
  <c r="H14" i="49"/>
  <c r="H77" i="38"/>
  <c r="G77" i="38"/>
  <c r="F36" i="38"/>
  <c r="I14" i="39"/>
  <c r="I19" i="39"/>
  <c r="I20" i="39"/>
  <c r="F23" i="40" s="1"/>
  <c r="I43" i="39"/>
  <c r="H45" i="39"/>
  <c r="H54" i="39"/>
  <c r="I47" i="39"/>
  <c r="I16" i="39"/>
  <c r="I21" i="39"/>
  <c r="F77" i="38"/>
  <c r="M15" i="36"/>
  <c r="I19" i="48"/>
  <c r="I214" i="48" s="1"/>
  <c r="K58" i="35"/>
  <c r="L85" i="35"/>
  <c r="K91" i="35"/>
  <c r="J131" i="35"/>
  <c r="N62" i="35"/>
  <c r="O62" i="35" s="1"/>
  <c r="O65" i="35" s="1"/>
  <c r="M65" i="35"/>
  <c r="L129" i="35"/>
  <c r="K131" i="35"/>
  <c r="F31" i="49" s="1"/>
  <c r="M57" i="35"/>
  <c r="N57" i="35" s="1"/>
  <c r="O57" i="35" s="1"/>
  <c r="O58" i="35" s="1"/>
  <c r="L58" i="35"/>
  <c r="J124" i="35"/>
  <c r="J208" i="35"/>
  <c r="J81" i="35"/>
  <c r="K75" i="35"/>
  <c r="J226" i="35" s="1"/>
  <c r="L26" i="35"/>
  <c r="M22" i="35"/>
  <c r="J91" i="35"/>
  <c r="J153" i="35"/>
  <c r="L65" i="35"/>
  <c r="K65" i="35"/>
  <c r="K68" i="35" s="1"/>
  <c r="J65" i="35"/>
  <c r="J58" i="35"/>
  <c r="H252" i="18"/>
  <c r="K123" i="13"/>
  <c r="K155" i="13" s="1"/>
  <c r="K121" i="13"/>
  <c r="K153" i="13" s="1"/>
  <c r="K185" i="13" s="1"/>
  <c r="K217" i="13" s="1"/>
  <c r="K249" i="13" s="1"/>
  <c r="K281" i="13" s="1"/>
  <c r="K112" i="13"/>
  <c r="G129" i="13"/>
  <c r="G128" i="13"/>
  <c r="G124" i="13"/>
  <c r="G154" i="13"/>
  <c r="K118" i="13"/>
  <c r="G114" i="13"/>
  <c r="AK114" i="13" s="1"/>
  <c r="AL114" i="13" s="1"/>
  <c r="G113" i="13"/>
  <c r="AK113" i="13" s="1"/>
  <c r="AL113" i="13" s="1"/>
  <c r="G287" i="13"/>
  <c r="E290" i="13"/>
  <c r="E89" i="13"/>
  <c r="E85" i="13"/>
  <c r="J85" i="13" s="1"/>
  <c r="AB85" i="13" s="1"/>
  <c r="H232" i="18"/>
  <c r="J116" i="18"/>
  <c r="H121" i="18"/>
  <c r="H241" i="18" s="1"/>
  <c r="I50" i="18"/>
  <c r="H50" i="18"/>
  <c r="H96" i="18"/>
  <c r="H239" i="18" s="1"/>
  <c r="J252" i="18"/>
  <c r="J91" i="18"/>
  <c r="K91" i="18" s="1"/>
  <c r="I96" i="18"/>
  <c r="I239" i="18" s="1"/>
  <c r="K48" i="18"/>
  <c r="L48" i="18" s="1"/>
  <c r="J50" i="18"/>
  <c r="I121" i="18"/>
  <c r="I241" i="18" s="1"/>
  <c r="H161" i="18"/>
  <c r="L165" i="18"/>
  <c r="L49" i="18"/>
  <c r="M49" i="18" s="1"/>
  <c r="I107" i="18"/>
  <c r="I233" i="18" s="1"/>
  <c r="I226" i="18" s="1"/>
  <c r="H112" i="18"/>
  <c r="K116" i="18"/>
  <c r="H270" i="18"/>
  <c r="J84" i="18"/>
  <c r="I87" i="18"/>
  <c r="I232" i="18" s="1"/>
  <c r="M48" i="18"/>
  <c r="E175" i="13"/>
  <c r="K187" i="13"/>
  <c r="M35" i="13"/>
  <c r="I128" i="13"/>
  <c r="E118" i="13"/>
  <c r="K97" i="13"/>
  <c r="K67" i="13"/>
  <c r="F122" i="49" s="1"/>
  <c r="G94" i="13"/>
  <c r="E122" i="13"/>
  <c r="I123" i="13"/>
  <c r="I113" i="13"/>
  <c r="E126" i="13"/>
  <c r="E95" i="13"/>
  <c r="I126" i="13"/>
  <c r="E96" i="13"/>
  <c r="I93" i="13"/>
  <c r="E91" i="13"/>
  <c r="E88" i="13"/>
  <c r="E81" i="13"/>
  <c r="E92" i="13"/>
  <c r="I89" i="13"/>
  <c r="E87" i="13"/>
  <c r="E112" i="13"/>
  <c r="F49" i="22"/>
  <c r="G57" i="22" s="1"/>
  <c r="G59" i="22" s="1"/>
  <c r="L40" i="35" s="1"/>
  <c r="E47" i="22"/>
  <c r="K25" i="31"/>
  <c r="K24" i="31"/>
  <c r="Q57" i="29"/>
  <c r="F48" i="22"/>
  <c r="G24" i="1"/>
  <c r="J15" i="35" s="1"/>
  <c r="J19" i="35" s="1"/>
  <c r="J26" i="35" s="1"/>
  <c r="D19" i="22"/>
  <c r="H98" i="49"/>
  <c r="H24" i="1"/>
  <c r="K26" i="31"/>
  <c r="C128" i="22"/>
  <c r="H127" i="22"/>
  <c r="E49" i="22"/>
  <c r="J53" i="22" s="1"/>
  <c r="F47" i="22"/>
  <c r="D130" i="22"/>
  <c r="O53" i="29"/>
  <c r="K111" i="13"/>
  <c r="K99" i="13"/>
  <c r="G122" i="49" s="1"/>
  <c r="O158" i="29"/>
  <c r="O54" i="29" s="1"/>
  <c r="I24" i="22"/>
  <c r="J23" i="22"/>
  <c r="M114" i="31"/>
  <c r="L124" i="31"/>
  <c r="M124" i="31" s="1"/>
  <c r="N124" i="31" s="1"/>
  <c r="O124" i="31" s="1"/>
  <c r="E48" i="22"/>
  <c r="C130" i="22"/>
  <c r="H33" i="1" l="1"/>
  <c r="H32" i="1"/>
  <c r="K15" i="35"/>
  <c r="O35" i="29" s="1"/>
  <c r="D21" i="22"/>
  <c r="Q34" i="36"/>
  <c r="R8" i="36"/>
  <c r="R14" i="36" s="1"/>
  <c r="O22" i="36"/>
  <c r="Q45" i="36"/>
  <c r="O40" i="36"/>
  <c r="Q50" i="36"/>
  <c r="O29" i="36"/>
  <c r="O27" i="36"/>
  <c r="M195" i="24"/>
  <c r="M79" i="24"/>
  <c r="K78" i="24"/>
  <c r="K194" i="24"/>
  <c r="L79" i="24"/>
  <c r="L195" i="24"/>
  <c r="M191" i="24"/>
  <c r="M75" i="24"/>
  <c r="L191" i="24"/>
  <c r="L75" i="24"/>
  <c r="K69" i="24"/>
  <c r="K185" i="24"/>
  <c r="M70" i="24"/>
  <c r="M186" i="24"/>
  <c r="L70" i="24"/>
  <c r="L186" i="24"/>
  <c r="M179" i="24"/>
  <c r="M63" i="24"/>
  <c r="K180" i="24"/>
  <c r="K64" i="24"/>
  <c r="L179" i="24"/>
  <c r="L63" i="24"/>
  <c r="K61" i="24"/>
  <c r="K177" i="24"/>
  <c r="K173" i="24"/>
  <c r="K57" i="24"/>
  <c r="N83" i="31"/>
  <c r="L55" i="24"/>
  <c r="L171" i="24"/>
  <c r="N82" i="31"/>
  <c r="L54" i="24"/>
  <c r="L170" i="24"/>
  <c r="M203" i="24"/>
  <c r="M87" i="24"/>
  <c r="L203" i="24"/>
  <c r="L87" i="24"/>
  <c r="K205" i="24"/>
  <c r="K89" i="24"/>
  <c r="K204" i="24"/>
  <c r="K88" i="24"/>
  <c r="M202" i="24"/>
  <c r="M86" i="24"/>
  <c r="L86" i="24"/>
  <c r="L202" i="24"/>
  <c r="J199" i="24"/>
  <c r="J83" i="24"/>
  <c r="M198" i="24"/>
  <c r="M82" i="24"/>
  <c r="L198" i="24"/>
  <c r="L82" i="24"/>
  <c r="L81" i="24"/>
  <c r="L197" i="24"/>
  <c r="K81" i="24"/>
  <c r="K197" i="24"/>
  <c r="K77" i="24"/>
  <c r="K193" i="24"/>
  <c r="K192" i="24"/>
  <c r="K76" i="24"/>
  <c r="K190" i="24"/>
  <c r="K74" i="24"/>
  <c r="J73" i="24"/>
  <c r="J189" i="24"/>
  <c r="L184" i="24"/>
  <c r="L68" i="24"/>
  <c r="K68" i="24"/>
  <c r="K184" i="24"/>
  <c r="K65" i="24"/>
  <c r="K181" i="24"/>
  <c r="K178" i="24"/>
  <c r="K62" i="24"/>
  <c r="M175" i="24"/>
  <c r="M59" i="24"/>
  <c r="L175" i="24"/>
  <c r="L59" i="24"/>
  <c r="L172" i="24"/>
  <c r="L56" i="24"/>
  <c r="J53" i="24"/>
  <c r="J169" i="24"/>
  <c r="M76" i="31"/>
  <c r="K166" i="24"/>
  <c r="K50" i="24"/>
  <c r="L163" i="24"/>
  <c r="L47" i="24"/>
  <c r="K163" i="24"/>
  <c r="K47" i="24"/>
  <c r="Y61" i="29"/>
  <c r="G16" i="47"/>
  <c r="H16" i="47" s="1"/>
  <c r="H48" i="47" s="1"/>
  <c r="J112" i="13"/>
  <c r="AB112" i="13" s="1"/>
  <c r="T112" i="13" s="1"/>
  <c r="J81" i="13"/>
  <c r="AB81" i="13" s="1"/>
  <c r="T81" i="13" s="1"/>
  <c r="H26" i="18"/>
  <c r="J87" i="13"/>
  <c r="AB87" i="13" s="1"/>
  <c r="T87" i="13" s="1"/>
  <c r="G34" i="47"/>
  <c r="H34" i="47" s="1"/>
  <c r="H36" i="47" s="1"/>
  <c r="H37" i="47" s="1"/>
  <c r="G19" i="47"/>
  <c r="G4" i="22"/>
  <c r="I184" i="48"/>
  <c r="I101" i="48"/>
  <c r="I204" i="48"/>
  <c r="I216" i="48" s="1"/>
  <c r="I124" i="48"/>
  <c r="I41" i="48"/>
  <c r="I144" i="48"/>
  <c r="I61" i="48"/>
  <c r="I21" i="48"/>
  <c r="I164" i="48"/>
  <c r="I81" i="48"/>
  <c r="H195" i="18"/>
  <c r="Q61" i="36"/>
  <c r="Q33" i="36"/>
  <c r="O54" i="36"/>
  <c r="O61" i="36"/>
  <c r="O19" i="36"/>
  <c r="Q14" i="36"/>
  <c r="Q64" i="36"/>
  <c r="Q30" i="36"/>
  <c r="O64" i="36"/>
  <c r="O32" i="36"/>
  <c r="O57" i="36"/>
  <c r="Q52" i="36"/>
  <c r="Q28" i="36"/>
  <c r="Q58" i="36"/>
  <c r="Q57" i="36"/>
  <c r="O66" i="36"/>
  <c r="O50" i="36"/>
  <c r="O34" i="36"/>
  <c r="O18" i="36"/>
  <c r="O37" i="36"/>
  <c r="O69" i="36"/>
  <c r="Q47" i="36"/>
  <c r="O23" i="36"/>
  <c r="Q39" i="36"/>
  <c r="O51" i="36"/>
  <c r="J83" i="13"/>
  <c r="AB83" i="13" s="1"/>
  <c r="O14" i="36"/>
  <c r="Q25" i="36"/>
  <c r="Q29" i="36"/>
  <c r="O56" i="36"/>
  <c r="O31" i="36"/>
  <c r="Q46" i="36"/>
  <c r="O46" i="36"/>
  <c r="O16" i="36"/>
  <c r="O45" i="36"/>
  <c r="Q70" i="36"/>
  <c r="O15" i="36"/>
  <c r="O24" i="36"/>
  <c r="F8" i="37"/>
  <c r="O67" i="36"/>
  <c r="Q53" i="36"/>
  <c r="O62" i="36"/>
  <c r="O30" i="36"/>
  <c r="T8" i="36"/>
  <c r="T14" i="36" s="1"/>
  <c r="Q59" i="36"/>
  <c r="O39" i="36"/>
  <c r="Q37" i="36"/>
  <c r="Q32" i="36"/>
  <c r="Q54" i="36"/>
  <c r="AA8" i="36"/>
  <c r="AA27" i="36" s="1"/>
  <c r="O48" i="36"/>
  <c r="O25" i="36"/>
  <c r="Q26" i="36"/>
  <c r="O63" i="36"/>
  <c r="O43" i="36"/>
  <c r="Q23" i="36"/>
  <c r="Q49" i="36"/>
  <c r="O58" i="36"/>
  <c r="O42" i="36"/>
  <c r="O26" i="36"/>
  <c r="O17" i="36"/>
  <c r="O53" i="36"/>
  <c r="Q55" i="36"/>
  <c r="Q68" i="36"/>
  <c r="O55" i="36"/>
  <c r="Q60" i="36"/>
  <c r="Q44" i="36"/>
  <c r="I33" i="22"/>
  <c r="H35" i="22"/>
  <c r="AL47" i="13"/>
  <c r="AL67" i="13" s="1"/>
  <c r="H325" i="13" s="1"/>
  <c r="AB47" i="13"/>
  <c r="AB67" i="13" s="1"/>
  <c r="E325" i="13" s="1"/>
  <c r="K114" i="13"/>
  <c r="O82" i="13"/>
  <c r="AH51" i="13"/>
  <c r="P51" i="13"/>
  <c r="P54" i="13"/>
  <c r="AH54" i="13"/>
  <c r="O86" i="13"/>
  <c r="AH53" i="13"/>
  <c r="P53" i="13"/>
  <c r="G118" i="13"/>
  <c r="AK86" i="13"/>
  <c r="AL86" i="13" s="1"/>
  <c r="O87" i="13"/>
  <c r="P52" i="13"/>
  <c r="AH52" i="13"/>
  <c r="K115" i="13"/>
  <c r="O83" i="13"/>
  <c r="K116" i="13"/>
  <c r="U84" i="13"/>
  <c r="O84" i="13"/>
  <c r="T84" i="13"/>
  <c r="S84" i="13"/>
  <c r="R84" i="13"/>
  <c r="K150" i="13"/>
  <c r="O118" i="13"/>
  <c r="O119" i="13"/>
  <c r="P50" i="13"/>
  <c r="AH50" i="13"/>
  <c r="AH55" i="13"/>
  <c r="P55" i="13"/>
  <c r="P48" i="13"/>
  <c r="AH48" i="13"/>
  <c r="G117" i="13"/>
  <c r="AK85" i="13"/>
  <c r="AL85" i="13" s="1"/>
  <c r="O112" i="13"/>
  <c r="J82" i="13"/>
  <c r="J86" i="13"/>
  <c r="G119" i="13"/>
  <c r="AK87" i="13"/>
  <c r="AL87" i="13" s="1"/>
  <c r="AH49" i="13"/>
  <c r="P49" i="13"/>
  <c r="K113" i="13"/>
  <c r="O81" i="13"/>
  <c r="K117" i="13"/>
  <c r="O85" i="13"/>
  <c r="T85" i="13"/>
  <c r="G112" i="13"/>
  <c r="AK80" i="13"/>
  <c r="AL80" i="13" s="1"/>
  <c r="O80" i="13"/>
  <c r="T80" i="13"/>
  <c r="G116" i="13"/>
  <c r="AK84" i="13"/>
  <c r="AL84" i="13" s="1"/>
  <c r="K106" i="29"/>
  <c r="Y106" i="29" s="1"/>
  <c r="K79" i="29"/>
  <c r="Y79" i="29" s="1"/>
  <c r="K129" i="29"/>
  <c r="Y129" i="29" s="1"/>
  <c r="L105" i="29"/>
  <c r="Z105" i="29" s="1"/>
  <c r="Y105" i="29"/>
  <c r="L74" i="29"/>
  <c r="Z74" i="29" s="1"/>
  <c r="Y74" i="29"/>
  <c r="K116" i="29"/>
  <c r="X116" i="29"/>
  <c r="K100" i="29"/>
  <c r="X100" i="29"/>
  <c r="K152" i="29"/>
  <c r="Y152" i="29" s="1"/>
  <c r="X152" i="29"/>
  <c r="K121" i="29"/>
  <c r="Y121" i="29" s="1"/>
  <c r="K149" i="29"/>
  <c r="Y149" i="29" s="1"/>
  <c r="K114" i="29"/>
  <c r="Y114" i="29" s="1"/>
  <c r="X114" i="29"/>
  <c r="K90" i="29"/>
  <c r="Y90" i="29" s="1"/>
  <c r="X90" i="29"/>
  <c r="K95" i="29"/>
  <c r="Y95" i="29" s="1"/>
  <c r="X95" i="29"/>
  <c r="K89" i="29"/>
  <c r="Y89" i="29" s="1"/>
  <c r="K94" i="29"/>
  <c r="Y94" i="29" s="1"/>
  <c r="L146" i="29"/>
  <c r="Z146" i="29" s="1"/>
  <c r="K109" i="29"/>
  <c r="Y109" i="29" s="1"/>
  <c r="X109" i="29"/>
  <c r="K83" i="29"/>
  <c r="Y83" i="29" s="1"/>
  <c r="X83" i="29"/>
  <c r="K69" i="29"/>
  <c r="Y69" i="29" s="1"/>
  <c r="X69" i="29"/>
  <c r="R67" i="29"/>
  <c r="R130" i="29"/>
  <c r="Q102" i="29"/>
  <c r="Q140" i="29"/>
  <c r="Q60" i="29"/>
  <c r="Q80" i="29"/>
  <c r="R77" i="29"/>
  <c r="Q128" i="29"/>
  <c r="Q110" i="29"/>
  <c r="Q144" i="29"/>
  <c r="R69" i="29"/>
  <c r="S86" i="29"/>
  <c r="R97" i="29"/>
  <c r="R85" i="29"/>
  <c r="L75" i="29"/>
  <c r="Z75" i="29" s="1"/>
  <c r="R75" i="29"/>
  <c r="L141" i="29"/>
  <c r="Z141" i="29" s="1"/>
  <c r="R141" i="29"/>
  <c r="R117" i="29"/>
  <c r="L88" i="29"/>
  <c r="Z88" i="29" s="1"/>
  <c r="R88" i="29"/>
  <c r="S126" i="29"/>
  <c r="Q152" i="29"/>
  <c r="Q67" i="29"/>
  <c r="Q114" i="29"/>
  <c r="Q143" i="29"/>
  <c r="K143" i="29"/>
  <c r="Y143" i="29" s="1"/>
  <c r="Q127" i="29"/>
  <c r="K127" i="29"/>
  <c r="Y127" i="29" s="1"/>
  <c r="L134" i="29"/>
  <c r="Z134" i="29" s="1"/>
  <c r="R134" i="29"/>
  <c r="Q109" i="29"/>
  <c r="Q83" i="29"/>
  <c r="R105" i="29"/>
  <c r="Q69" i="29"/>
  <c r="Q90" i="29"/>
  <c r="Q66" i="29"/>
  <c r="Q95" i="29"/>
  <c r="R74" i="29"/>
  <c r="R122" i="29"/>
  <c r="R138" i="29"/>
  <c r="R81" i="29"/>
  <c r="Q124" i="29"/>
  <c r="Q68" i="29"/>
  <c r="Q84" i="29"/>
  <c r="R91" i="29"/>
  <c r="Q132" i="29"/>
  <c r="Q107" i="29"/>
  <c r="R113" i="29"/>
  <c r="S78" i="29"/>
  <c r="R87" i="29"/>
  <c r="R79" i="29"/>
  <c r="R133" i="29"/>
  <c r="S112" i="29"/>
  <c r="Q63" i="29"/>
  <c r="Q94" i="29"/>
  <c r="R101" i="29"/>
  <c r="Q147" i="29"/>
  <c r="K147" i="29"/>
  <c r="Y147" i="29" s="1"/>
  <c r="Q131" i="29"/>
  <c r="K131" i="29"/>
  <c r="Y131" i="29" s="1"/>
  <c r="R146" i="29"/>
  <c r="Q72" i="29"/>
  <c r="Q75" i="29"/>
  <c r="L82" i="29"/>
  <c r="Z82" i="29" s="1"/>
  <c r="R82" i="29"/>
  <c r="Q65" i="29"/>
  <c r="S118" i="29"/>
  <c r="R78" i="29"/>
  <c r="Q149" i="29"/>
  <c r="Q125" i="29"/>
  <c r="Q62" i="29"/>
  <c r="Q113" i="29"/>
  <c r="Q87" i="29"/>
  <c r="R104" i="29"/>
  <c r="R153" i="29"/>
  <c r="J52" i="29"/>
  <c r="Q93" i="29"/>
  <c r="R72" i="29"/>
  <c r="R154" i="29"/>
  <c r="R145" i="29"/>
  <c r="Q115" i="29"/>
  <c r="R71" i="29"/>
  <c r="Q98" i="29"/>
  <c r="Q148" i="29"/>
  <c r="R94" i="29"/>
  <c r="Q120" i="29"/>
  <c r="R106" i="29"/>
  <c r="Z62" i="29"/>
  <c r="R62" i="29"/>
  <c r="R63" i="29"/>
  <c r="R95" i="29"/>
  <c r="S101" i="29"/>
  <c r="L83" i="29"/>
  <c r="Z83" i="29" s="1"/>
  <c r="R83" i="29"/>
  <c r="R129" i="29"/>
  <c r="K137" i="29"/>
  <c r="Y137" i="29" s="1"/>
  <c r="Q137" i="29"/>
  <c r="R103" i="29"/>
  <c r="Q92" i="29"/>
  <c r="S104" i="29"/>
  <c r="S150" i="29"/>
  <c r="Q103" i="29"/>
  <c r="Q89" i="29"/>
  <c r="R86" i="29"/>
  <c r="Q151" i="29"/>
  <c r="K151" i="29"/>
  <c r="Y151" i="29" s="1"/>
  <c r="Q135" i="29"/>
  <c r="K135" i="29"/>
  <c r="Y135" i="29" s="1"/>
  <c r="Q119" i="29"/>
  <c r="K119" i="29"/>
  <c r="Y119" i="29" s="1"/>
  <c r="Q96" i="29"/>
  <c r="R112" i="29"/>
  <c r="Q61" i="29"/>
  <c r="Q141" i="29"/>
  <c r="Q129" i="29"/>
  <c r="Q117" i="29"/>
  <c r="R126" i="29"/>
  <c r="Q79" i="29"/>
  <c r="Q156" i="29"/>
  <c r="R89" i="29"/>
  <c r="S74" i="29"/>
  <c r="R65" i="29"/>
  <c r="R121" i="29"/>
  <c r="Q70" i="29"/>
  <c r="R90" i="29"/>
  <c r="Q76" i="29"/>
  <c r="Q136" i="29"/>
  <c r="Q64" i="29"/>
  <c r="Q155" i="29"/>
  <c r="R61" i="29"/>
  <c r="L66" i="29"/>
  <c r="Z66" i="29" s="1"/>
  <c r="R66" i="29"/>
  <c r="S108" i="29"/>
  <c r="S142" i="29"/>
  <c r="R109" i="29"/>
  <c r="R149" i="29"/>
  <c r="L125" i="29"/>
  <c r="Z125" i="29" s="1"/>
  <c r="R125" i="29"/>
  <c r="Q145" i="29"/>
  <c r="L96" i="29"/>
  <c r="Z96" i="29" s="1"/>
  <c r="R96" i="29"/>
  <c r="Q121" i="29"/>
  <c r="K99" i="29"/>
  <c r="Y99" i="29" s="1"/>
  <c r="Q99" i="29"/>
  <c r="K73" i="29"/>
  <c r="Y73" i="29" s="1"/>
  <c r="Q73" i="29"/>
  <c r="K111" i="29"/>
  <c r="Y111" i="29" s="1"/>
  <c r="Q111" i="29"/>
  <c r="Q106" i="29"/>
  <c r="R108" i="29"/>
  <c r="Q139" i="29"/>
  <c r="K139" i="29"/>
  <c r="Y139" i="29" s="1"/>
  <c r="Q123" i="29"/>
  <c r="K123" i="29"/>
  <c r="Y123" i="29" s="1"/>
  <c r="W53" i="29"/>
  <c r="P29" i="29" s="1"/>
  <c r="L142" i="35" s="1"/>
  <c r="Q88" i="29"/>
  <c r="Q91" i="29"/>
  <c r="Q97" i="29"/>
  <c r="Q133" i="29"/>
  <c r="Q71" i="29"/>
  <c r="K162" i="24"/>
  <c r="K46" i="24"/>
  <c r="K161" i="24"/>
  <c r="K45" i="24"/>
  <c r="K160" i="24"/>
  <c r="K44" i="24"/>
  <c r="H134" i="18"/>
  <c r="H103" i="18"/>
  <c r="H39" i="18"/>
  <c r="M58" i="35"/>
  <c r="M68" i="35" s="1"/>
  <c r="N65" i="35"/>
  <c r="N58" i="35"/>
  <c r="N68" i="35" s="1"/>
  <c r="N206" i="35" s="1"/>
  <c r="K92" i="29"/>
  <c r="M104" i="29"/>
  <c r="M88" i="29"/>
  <c r="L103" i="29"/>
  <c r="Z103" i="29" s="1"/>
  <c r="L85" i="29"/>
  <c r="Z85" i="29" s="1"/>
  <c r="AH10" i="43"/>
  <c r="N10" i="53"/>
  <c r="T10" i="53" s="1"/>
  <c r="H25" i="44"/>
  <c r="I8" i="18"/>
  <c r="I26" i="18" s="1"/>
  <c r="H9" i="44"/>
  <c r="Z10" i="53"/>
  <c r="I50" i="29"/>
  <c r="I39" i="18"/>
  <c r="Q42" i="36"/>
  <c r="G41" i="22"/>
  <c r="H8" i="40"/>
  <c r="K8" i="39"/>
  <c r="K61" i="39" s="1"/>
  <c r="P50" i="29"/>
  <c r="J222" i="18"/>
  <c r="J143" i="18"/>
  <c r="J172" i="18" s="1"/>
  <c r="J8" i="18"/>
  <c r="J79" i="18" s="1"/>
  <c r="AC10" i="43"/>
  <c r="H4" i="22"/>
  <c r="AG10" i="53"/>
  <c r="O10" i="53"/>
  <c r="U10" i="53" s="1"/>
  <c r="O50" i="29"/>
  <c r="F41" i="22"/>
  <c r="F7" i="49"/>
  <c r="F91" i="49" s="1"/>
  <c r="I222" i="18"/>
  <c r="F67" i="22"/>
  <c r="AF10" i="53"/>
  <c r="G8" i="38"/>
  <c r="J8" i="39"/>
  <c r="J61" i="39" s="1"/>
  <c r="H10" i="43"/>
  <c r="J155" i="24"/>
  <c r="AB10" i="43"/>
  <c r="G8" i="40"/>
  <c r="F84" i="22"/>
  <c r="K8" i="35"/>
  <c r="K104" i="35" s="1"/>
  <c r="I143" i="18"/>
  <c r="I172" i="18" s="1"/>
  <c r="P106" i="53"/>
  <c r="P68" i="53"/>
  <c r="P92" i="53"/>
  <c r="O65" i="36"/>
  <c r="O44" i="36"/>
  <c r="S8" i="36"/>
  <c r="O35" i="36"/>
  <c r="O33" i="36"/>
  <c r="O28" i="36"/>
  <c r="O60" i="36"/>
  <c r="Q62" i="36"/>
  <c r="O52" i="36"/>
  <c r="O47" i="36"/>
  <c r="O36" i="36"/>
  <c r="O68" i="36"/>
  <c r="O49" i="36"/>
  <c r="O20" i="36"/>
  <c r="Q66" i="36"/>
  <c r="Q69" i="36"/>
  <c r="Q41" i="36"/>
  <c r="Q67" i="36"/>
  <c r="Q20" i="36"/>
  <c r="Q38" i="36"/>
  <c r="O21" i="36"/>
  <c r="Q65" i="36"/>
  <c r="Q43" i="36"/>
  <c r="Q21" i="36"/>
  <c r="Q56" i="36"/>
  <c r="Q16" i="36"/>
  <c r="Q18" i="36"/>
  <c r="O59" i="36"/>
  <c r="Q22" i="36"/>
  <c r="Q35" i="36"/>
  <c r="Q17" i="36"/>
  <c r="Q40" i="36"/>
  <c r="Q63" i="36"/>
  <c r="Q27" i="36"/>
  <c r="Q19" i="36"/>
  <c r="P80" i="53"/>
  <c r="P21" i="53"/>
  <c r="P41" i="53"/>
  <c r="P105" i="53"/>
  <c r="I31" i="24"/>
  <c r="J20" i="24"/>
  <c r="P24" i="53"/>
  <c r="P29" i="53"/>
  <c r="P113" i="53"/>
  <c r="P128" i="53"/>
  <c r="P93" i="53"/>
  <c r="P117" i="53"/>
  <c r="P124" i="53"/>
  <c r="P72" i="53"/>
  <c r="P76" i="53"/>
  <c r="P96" i="53"/>
  <c r="P57" i="53"/>
  <c r="N133" i="43"/>
  <c r="N51" i="43"/>
  <c r="N59" i="43"/>
  <c r="N107" i="43"/>
  <c r="N40" i="43"/>
  <c r="N83" i="43"/>
  <c r="N115" i="43"/>
  <c r="N99" i="43"/>
  <c r="N75" i="43"/>
  <c r="N139" i="43"/>
  <c r="S53" i="43"/>
  <c r="S88" i="43"/>
  <c r="P56" i="43"/>
  <c r="Q134" i="43"/>
  <c r="Q104" i="43"/>
  <c r="S95" i="43"/>
  <c r="S111" i="43"/>
  <c r="S79" i="43"/>
  <c r="R125" i="43"/>
  <c r="K105" i="43"/>
  <c r="Q105" i="43"/>
  <c r="R84" i="43"/>
  <c r="R47" i="43"/>
  <c r="R55" i="43"/>
  <c r="R109" i="43"/>
  <c r="S64" i="43"/>
  <c r="P135" i="43"/>
  <c r="P80" i="43"/>
  <c r="Q44" i="43"/>
  <c r="P110" i="43"/>
  <c r="Q124" i="43"/>
  <c r="Q114" i="43"/>
  <c r="R77" i="43"/>
  <c r="L125" i="43"/>
  <c r="L47" i="43"/>
  <c r="S119" i="43"/>
  <c r="S137" i="43"/>
  <c r="S51" i="43"/>
  <c r="S128" i="43"/>
  <c r="S99" i="43"/>
  <c r="L55" i="43"/>
  <c r="R93" i="43"/>
  <c r="L93" i="43"/>
  <c r="R83" i="43"/>
  <c r="R51" i="43"/>
  <c r="K126" i="43"/>
  <c r="Q126" i="43"/>
  <c r="R68" i="43"/>
  <c r="L68" i="43"/>
  <c r="R57" i="43"/>
  <c r="R111" i="43"/>
  <c r="R45" i="43"/>
  <c r="K103" i="43"/>
  <c r="Q103" i="43"/>
  <c r="K107" i="43"/>
  <c r="Q107" i="43"/>
  <c r="Q76" i="43"/>
  <c r="K76" i="43"/>
  <c r="R63" i="43"/>
  <c r="R133" i="43"/>
  <c r="R95" i="43"/>
  <c r="R119" i="43"/>
  <c r="R137" i="43"/>
  <c r="S65" i="43"/>
  <c r="P132" i="43"/>
  <c r="S109" i="43"/>
  <c r="S85" i="43"/>
  <c r="S121" i="43"/>
  <c r="S63" i="43"/>
  <c r="R72" i="43"/>
  <c r="L72" i="43"/>
  <c r="Q108" i="43"/>
  <c r="R41" i="43"/>
  <c r="R53" i="43"/>
  <c r="P92" i="43"/>
  <c r="P96" i="43"/>
  <c r="P60" i="43"/>
  <c r="P130" i="43"/>
  <c r="Q112" i="43"/>
  <c r="R102" i="43"/>
  <c r="S45" i="43"/>
  <c r="S91" i="43"/>
  <c r="S89" i="43"/>
  <c r="S49" i="43"/>
  <c r="S97" i="43"/>
  <c r="S83" i="43"/>
  <c r="L84" i="43"/>
  <c r="R52" i="43"/>
  <c r="L52" i="43"/>
  <c r="R128" i="43"/>
  <c r="Q73" i="43"/>
  <c r="K73" i="43"/>
  <c r="R129" i="43"/>
  <c r="L129" i="43"/>
  <c r="R87" i="43"/>
  <c r="L87" i="43"/>
  <c r="R97" i="43"/>
  <c r="R61" i="43"/>
  <c r="Q102" i="43"/>
  <c r="R89" i="43"/>
  <c r="R69" i="43"/>
  <c r="R81" i="43"/>
  <c r="R121" i="43"/>
  <c r="R91" i="43"/>
  <c r="S117" i="43"/>
  <c r="Q138" i="43"/>
  <c r="S57" i="43"/>
  <c r="R88" i="43"/>
  <c r="K108" i="43"/>
  <c r="P48" i="43"/>
  <c r="P116" i="43"/>
  <c r="P100" i="43"/>
  <c r="Q131" i="43"/>
  <c r="P139" i="43"/>
  <c r="S61" i="43"/>
  <c r="S133" i="43"/>
  <c r="S69" i="43"/>
  <c r="L41" i="43"/>
  <c r="S81" i="43"/>
  <c r="Q77" i="43"/>
  <c r="Q75" i="43"/>
  <c r="K75" i="43"/>
  <c r="R64" i="43"/>
  <c r="K127" i="43"/>
  <c r="Q127" i="43"/>
  <c r="R118" i="43"/>
  <c r="L118" i="43"/>
  <c r="R49" i="43"/>
  <c r="R99" i="43"/>
  <c r="S71" i="43"/>
  <c r="R85" i="43"/>
  <c r="J120" i="53"/>
  <c r="P52" i="53"/>
  <c r="K52" i="53"/>
  <c r="L52" i="53" s="1"/>
  <c r="K93" i="53"/>
  <c r="Q93" i="53" s="1"/>
  <c r="K128" i="53"/>
  <c r="O89" i="53"/>
  <c r="O68" i="53"/>
  <c r="J89" i="53"/>
  <c r="P89" i="53" s="1"/>
  <c r="P45" i="53"/>
  <c r="K77" i="53"/>
  <c r="L77" i="53" s="1"/>
  <c r="K33" i="53"/>
  <c r="L33" i="53" s="1"/>
  <c r="K68" i="53"/>
  <c r="Q68" i="53" s="1"/>
  <c r="O84" i="53"/>
  <c r="K64" i="53"/>
  <c r="O48" i="53"/>
  <c r="P120" i="53"/>
  <c r="P84" i="53"/>
  <c r="P40" i="53"/>
  <c r="O33" i="53"/>
  <c r="O120" i="53"/>
  <c r="Q40" i="53"/>
  <c r="K106" i="53"/>
  <c r="Q106" i="53" s="1"/>
  <c r="K84" i="53"/>
  <c r="J100" i="53"/>
  <c r="O121" i="53"/>
  <c r="O116" i="53"/>
  <c r="O132" i="53"/>
  <c r="J132" i="53"/>
  <c r="K109" i="53"/>
  <c r="P109" i="53"/>
  <c r="I127" i="53"/>
  <c r="P129" i="53"/>
  <c r="L61" i="53"/>
  <c r="O64" i="53"/>
  <c r="P61" i="53"/>
  <c r="P64" i="53"/>
  <c r="Q61" i="53"/>
  <c r="J48" i="53"/>
  <c r="P48" i="53" s="1"/>
  <c r="J112" i="53"/>
  <c r="P112" i="53" s="1"/>
  <c r="K129" i="53"/>
  <c r="Q129" i="53" s="1"/>
  <c r="O112" i="53"/>
  <c r="P25" i="53"/>
  <c r="O105" i="53"/>
  <c r="K113" i="53"/>
  <c r="Q113" i="53" s="1"/>
  <c r="K56" i="53"/>
  <c r="P73" i="53"/>
  <c r="Q25" i="53"/>
  <c r="O73" i="53"/>
  <c r="K73" i="53"/>
  <c r="L73" i="53" s="1"/>
  <c r="P116" i="53"/>
  <c r="J121" i="53"/>
  <c r="P121" i="53" s="1"/>
  <c r="P133" i="53"/>
  <c r="P56" i="53"/>
  <c r="O113" i="53"/>
  <c r="L45" i="53"/>
  <c r="J136" i="53"/>
  <c r="L88" i="53"/>
  <c r="J53" i="53"/>
  <c r="J85" i="53"/>
  <c r="K92" i="53"/>
  <c r="Q92" i="53" s="1"/>
  <c r="I79" i="53"/>
  <c r="N79" i="53"/>
  <c r="I135" i="53"/>
  <c r="N135" i="53"/>
  <c r="I75" i="53"/>
  <c r="N75" i="53"/>
  <c r="N27" i="53"/>
  <c r="I27" i="53"/>
  <c r="I91" i="53"/>
  <c r="N91" i="53"/>
  <c r="I39" i="53"/>
  <c r="N39" i="53"/>
  <c r="I47" i="53"/>
  <c r="N47" i="53"/>
  <c r="I55" i="53"/>
  <c r="N55" i="53"/>
  <c r="I63" i="53"/>
  <c r="N63" i="53"/>
  <c r="I23" i="53"/>
  <c r="N23" i="53"/>
  <c r="J97" i="53"/>
  <c r="J36" i="53"/>
  <c r="N131" i="53"/>
  <c r="I131" i="53"/>
  <c r="I111" i="53"/>
  <c r="N111" i="53"/>
  <c r="K57" i="53"/>
  <c r="Q57" i="53" s="1"/>
  <c r="I139" i="53"/>
  <c r="N139" i="53"/>
  <c r="I19" i="53"/>
  <c r="N19" i="53"/>
  <c r="K41" i="53"/>
  <c r="I115" i="53"/>
  <c r="N115" i="53"/>
  <c r="J16" i="53"/>
  <c r="N103" i="53"/>
  <c r="J119" i="53"/>
  <c r="I83" i="53"/>
  <c r="N83" i="53"/>
  <c r="I99" i="53"/>
  <c r="N99" i="53"/>
  <c r="I123" i="53"/>
  <c r="N123" i="53"/>
  <c r="J107" i="53"/>
  <c r="J108" i="53"/>
  <c r="K112" i="53"/>
  <c r="Q112" i="53" s="1"/>
  <c r="I43" i="53"/>
  <c r="N43" i="53"/>
  <c r="I51" i="53"/>
  <c r="N51" i="53"/>
  <c r="I59" i="53"/>
  <c r="N59" i="53"/>
  <c r="I67" i="53"/>
  <c r="N67" i="53"/>
  <c r="N35" i="53"/>
  <c r="I35" i="53"/>
  <c r="N87" i="53"/>
  <c r="I87" i="53"/>
  <c r="K29" i="53"/>
  <c r="J81" i="53"/>
  <c r="J127" i="53"/>
  <c r="K72" i="53"/>
  <c r="I38" i="53"/>
  <c r="N38" i="53"/>
  <c r="I138" i="53"/>
  <c r="N138" i="53"/>
  <c r="I94" i="53"/>
  <c r="N94" i="53"/>
  <c r="I134" i="53"/>
  <c r="N134" i="53"/>
  <c r="O81" i="53"/>
  <c r="O127" i="53"/>
  <c r="L49" i="53"/>
  <c r="K76" i="53"/>
  <c r="I86" i="53"/>
  <c r="N86" i="53"/>
  <c r="I126" i="53"/>
  <c r="N126" i="53"/>
  <c r="I26" i="53"/>
  <c r="N26" i="53"/>
  <c r="I15" i="53"/>
  <c r="H141" i="53"/>
  <c r="H12" i="53" s="1"/>
  <c r="N15" i="53"/>
  <c r="I30" i="53"/>
  <c r="N30" i="53"/>
  <c r="I50" i="53"/>
  <c r="N50" i="53"/>
  <c r="I66" i="53"/>
  <c r="N66" i="53"/>
  <c r="I74" i="53"/>
  <c r="N74" i="53"/>
  <c r="I130" i="53"/>
  <c r="N130" i="53"/>
  <c r="I90" i="53"/>
  <c r="N90" i="53"/>
  <c r="J137" i="53"/>
  <c r="J71" i="53"/>
  <c r="J101" i="53"/>
  <c r="L104" i="53"/>
  <c r="I54" i="53"/>
  <c r="N54" i="53"/>
  <c r="J28" i="53"/>
  <c r="I82" i="53"/>
  <c r="N82" i="53"/>
  <c r="I102" i="53"/>
  <c r="N102" i="53"/>
  <c r="I118" i="53"/>
  <c r="N118" i="53"/>
  <c r="K105" i="53"/>
  <c r="Q105" i="53" s="1"/>
  <c r="I78" i="53"/>
  <c r="N78" i="53"/>
  <c r="N122" i="53"/>
  <c r="I122" i="53"/>
  <c r="I22" i="53"/>
  <c r="N22" i="53"/>
  <c r="K24" i="53"/>
  <c r="J42" i="53"/>
  <c r="I114" i="53"/>
  <c r="N114" i="53"/>
  <c r="J31" i="53"/>
  <c r="K96" i="53"/>
  <c r="I70" i="53"/>
  <c r="N70" i="53"/>
  <c r="I98" i="53"/>
  <c r="N98" i="53"/>
  <c r="L133" i="53"/>
  <c r="N62" i="53"/>
  <c r="I62" i="53"/>
  <c r="I18" i="53"/>
  <c r="N18" i="53"/>
  <c r="I34" i="53"/>
  <c r="N34" i="53"/>
  <c r="I46" i="53"/>
  <c r="N46" i="53"/>
  <c r="I58" i="53"/>
  <c r="N58" i="53"/>
  <c r="I270" i="18"/>
  <c r="J240" i="18"/>
  <c r="J270" i="18"/>
  <c r="K240" i="18"/>
  <c r="H225" i="18"/>
  <c r="I225" i="18"/>
  <c r="F105" i="49"/>
  <c r="M193" i="31"/>
  <c r="O177" i="31"/>
  <c r="M87" i="31"/>
  <c r="O156" i="31"/>
  <c r="N146" i="31"/>
  <c r="M126" i="31"/>
  <c r="M152" i="31"/>
  <c r="M161" i="31"/>
  <c r="N86" i="31"/>
  <c r="K34" i="31"/>
  <c r="G102" i="49" s="1"/>
  <c r="K241" i="31"/>
  <c r="K37" i="31" s="1"/>
  <c r="L236" i="31"/>
  <c r="L133" i="31"/>
  <c r="L129" i="29"/>
  <c r="Z129" i="29" s="1"/>
  <c r="M101" i="29"/>
  <c r="L117" i="29"/>
  <c r="Z117" i="29" s="1"/>
  <c r="L109" i="29"/>
  <c r="Z109" i="29" s="1"/>
  <c r="M112" i="29"/>
  <c r="L79" i="29"/>
  <c r="Z79" i="29" s="1"/>
  <c r="L149" i="29"/>
  <c r="Z149" i="29" s="1"/>
  <c r="L133" i="29"/>
  <c r="Z133" i="29" s="1"/>
  <c r="G99" i="49"/>
  <c r="F99" i="49"/>
  <c r="I96" i="49"/>
  <c r="H96" i="49"/>
  <c r="L25" i="31"/>
  <c r="H97" i="49"/>
  <c r="I46" i="31"/>
  <c r="I56" i="47"/>
  <c r="K50" i="18"/>
  <c r="H69" i="18"/>
  <c r="K124" i="35"/>
  <c r="F30" i="49" s="1"/>
  <c r="F33" i="49" s="1"/>
  <c r="J68" i="35"/>
  <c r="F100" i="49"/>
  <c r="F102" i="49"/>
  <c r="F101" i="49"/>
  <c r="F78" i="38"/>
  <c r="L72" i="31"/>
  <c r="L182" i="31"/>
  <c r="L162" i="31"/>
  <c r="L103" i="31"/>
  <c r="L202" i="31"/>
  <c r="N71" i="31"/>
  <c r="L132" i="31"/>
  <c r="L186" i="31"/>
  <c r="J35" i="31"/>
  <c r="J46" i="31" s="1"/>
  <c r="M238" i="31"/>
  <c r="N157" i="31"/>
  <c r="L166" i="31"/>
  <c r="L131" i="31"/>
  <c r="L198" i="31"/>
  <c r="M183" i="31"/>
  <c r="M201" i="31"/>
  <c r="L81" i="31"/>
  <c r="L88" i="31"/>
  <c r="M153" i="31"/>
  <c r="M187" i="31"/>
  <c r="L218" i="31"/>
  <c r="M173" i="31"/>
  <c r="M147" i="31"/>
  <c r="O213" i="31"/>
  <c r="O211" i="31"/>
  <c r="J44" i="31"/>
  <c r="I150" i="24"/>
  <c r="I15" i="24" s="1"/>
  <c r="H174" i="18" s="1"/>
  <c r="L206" i="31"/>
  <c r="L216" i="31"/>
  <c r="O212" i="31"/>
  <c r="L226" i="31"/>
  <c r="O163" i="31"/>
  <c r="L221" i="31"/>
  <c r="N171" i="31"/>
  <c r="M101" i="31"/>
  <c r="N192" i="31"/>
  <c r="J43" i="31"/>
  <c r="L228" i="31"/>
  <c r="L233" i="31"/>
  <c r="M231" i="31"/>
  <c r="L232" i="31"/>
  <c r="L178" i="31"/>
  <c r="L227" i="31"/>
  <c r="M208" i="31"/>
  <c r="N77" i="31"/>
  <c r="N126" i="31"/>
  <c r="N148" i="31"/>
  <c r="N102" i="31"/>
  <c r="O128" i="31"/>
  <c r="J37" i="31"/>
  <c r="G100" i="49"/>
  <c r="M222" i="31"/>
  <c r="M158" i="31"/>
  <c r="N197" i="31"/>
  <c r="N207" i="31"/>
  <c r="M176" i="31"/>
  <c r="M168" i="31"/>
  <c r="G101" i="49"/>
  <c r="N87" i="31"/>
  <c r="N127" i="31"/>
  <c r="O188" i="31"/>
  <c r="L24" i="31"/>
  <c r="K70" i="47"/>
  <c r="K71" i="47"/>
  <c r="AK79" i="13"/>
  <c r="AL79" i="13" s="1"/>
  <c r="G111" i="13"/>
  <c r="H19" i="47"/>
  <c r="H51" i="47" s="1"/>
  <c r="H47" i="47"/>
  <c r="K69" i="47"/>
  <c r="H130" i="22"/>
  <c r="D137" i="22"/>
  <c r="H137" i="22" s="1"/>
  <c r="H129" i="22"/>
  <c r="E20" i="22"/>
  <c r="E21" i="22" s="1"/>
  <c r="F138" i="22"/>
  <c r="G138" i="22"/>
  <c r="H73" i="47" s="1"/>
  <c r="J73" i="47" s="1"/>
  <c r="E139" i="22"/>
  <c r="F131" i="22"/>
  <c r="G131" i="22" s="1"/>
  <c r="P33" i="53"/>
  <c r="P77" i="53"/>
  <c r="E53" i="22"/>
  <c r="E55" i="22" s="1"/>
  <c r="E92" i="22"/>
  <c r="I47" i="31"/>
  <c r="AJ93" i="13"/>
  <c r="AJ113" i="13"/>
  <c r="T83" i="13"/>
  <c r="AJ83" i="13"/>
  <c r="AJ88" i="13"/>
  <c r="AJ130" i="13"/>
  <c r="AE55" i="13"/>
  <c r="AD55" i="13"/>
  <c r="AE57" i="13"/>
  <c r="AD57" i="13"/>
  <c r="AE65" i="13"/>
  <c r="AD65" i="13"/>
  <c r="AJ95" i="13"/>
  <c r="AE58" i="13"/>
  <c r="AD58" i="13"/>
  <c r="AE50" i="13"/>
  <c r="AD50" i="13"/>
  <c r="AE60" i="13"/>
  <c r="AD60" i="13"/>
  <c r="AD92" i="13"/>
  <c r="AE92" i="13"/>
  <c r="AD48" i="13"/>
  <c r="AE48" i="13"/>
  <c r="AE85" i="13"/>
  <c r="AD85" i="13"/>
  <c r="AE53" i="13"/>
  <c r="AD53" i="13"/>
  <c r="AE63" i="13"/>
  <c r="AD63" i="13"/>
  <c r="AE62" i="13"/>
  <c r="AD62" i="13"/>
  <c r="AJ126" i="13"/>
  <c r="AJ123" i="13"/>
  <c r="AJ112" i="13"/>
  <c r="AJ94" i="13"/>
  <c r="AJ82" i="13"/>
  <c r="AJ127" i="13"/>
  <c r="I118" i="13"/>
  <c r="AJ86" i="13"/>
  <c r="AJ97" i="13"/>
  <c r="AE64" i="13"/>
  <c r="AD64" i="13"/>
  <c r="AJ81" i="13"/>
  <c r="AJ128" i="13"/>
  <c r="AJ120" i="13"/>
  <c r="AJ84" i="13"/>
  <c r="AJ89" i="13"/>
  <c r="AJ119" i="13"/>
  <c r="I116" i="13"/>
  <c r="AJ124" i="13"/>
  <c r="AJ90" i="13"/>
  <c r="AJ117" i="13"/>
  <c r="AE51" i="13"/>
  <c r="AD51" i="13"/>
  <c r="AE56" i="13"/>
  <c r="AD56" i="13"/>
  <c r="AE61" i="13"/>
  <c r="AD61" i="13"/>
  <c r="AD96" i="13"/>
  <c r="AE96" i="13"/>
  <c r="AE52" i="13"/>
  <c r="AD52" i="13"/>
  <c r="AD98" i="13"/>
  <c r="AE98" i="13"/>
  <c r="AE54" i="13"/>
  <c r="AD54" i="13"/>
  <c r="AJ91" i="13"/>
  <c r="AE66" i="13"/>
  <c r="AD66" i="13"/>
  <c r="AD49" i="13"/>
  <c r="AE49" i="13"/>
  <c r="AE59" i="13"/>
  <c r="AD59" i="13"/>
  <c r="AE80" i="13"/>
  <c r="AD80" i="13"/>
  <c r="J79" i="13"/>
  <c r="AB79" i="13" s="1"/>
  <c r="I44" i="31"/>
  <c r="J45" i="31"/>
  <c r="I45" i="31"/>
  <c r="I43" i="31"/>
  <c r="M108" i="29"/>
  <c r="L87" i="29"/>
  <c r="Z87" i="29" s="1"/>
  <c r="P53" i="29"/>
  <c r="P14" i="29" s="1"/>
  <c r="J146" i="18" s="1"/>
  <c r="L113" i="29"/>
  <c r="Z113" i="29" s="1"/>
  <c r="M86" i="29"/>
  <c r="Z63" i="29"/>
  <c r="L97" i="29"/>
  <c r="Z97" i="29" s="1"/>
  <c r="M78" i="29"/>
  <c r="L65" i="29"/>
  <c r="Z65" i="29" s="1"/>
  <c r="L122" i="29"/>
  <c r="Z122" i="29" s="1"/>
  <c r="L154" i="29"/>
  <c r="Z154" i="29" s="1"/>
  <c r="L130" i="29"/>
  <c r="Z130" i="29" s="1"/>
  <c r="L145" i="29"/>
  <c r="Z145" i="29" s="1"/>
  <c r="K102" i="29"/>
  <c r="Y102" i="29" s="1"/>
  <c r="K68" i="29"/>
  <c r="Y68" i="29" s="1"/>
  <c r="K136" i="29"/>
  <c r="Y136" i="29" s="1"/>
  <c r="L94" i="29"/>
  <c r="Z94" i="29" s="1"/>
  <c r="M62" i="29"/>
  <c r="K110" i="29"/>
  <c r="Y110" i="29" s="1"/>
  <c r="K132" i="29"/>
  <c r="Y132" i="29" s="1"/>
  <c r="Z61" i="29"/>
  <c r="K124" i="29"/>
  <c r="Y124" i="29" s="1"/>
  <c r="K76" i="29"/>
  <c r="Y76" i="29" s="1"/>
  <c r="K98" i="29"/>
  <c r="Y98" i="29" s="1"/>
  <c r="Y64" i="29"/>
  <c r="K155" i="29"/>
  <c r="Y155" i="29" s="1"/>
  <c r="K107" i="29"/>
  <c r="Y107" i="29" s="1"/>
  <c r="J158" i="29"/>
  <c r="J54" i="29" s="1"/>
  <c r="J53" i="29"/>
  <c r="Z59" i="29"/>
  <c r="R59" i="29"/>
  <c r="L67" i="29"/>
  <c r="Z67" i="29" s="1"/>
  <c r="K140" i="29"/>
  <c r="Y140" i="29" s="1"/>
  <c r="L90" i="29"/>
  <c r="Z90" i="29" s="1"/>
  <c r="L71" i="29"/>
  <c r="Z71" i="29" s="1"/>
  <c r="K84" i="29"/>
  <c r="Y84" i="29" s="1"/>
  <c r="L137" i="29"/>
  <c r="Z137" i="29" s="1"/>
  <c r="L121" i="29"/>
  <c r="Z121" i="29" s="1"/>
  <c r="L138" i="29"/>
  <c r="Z138" i="29" s="1"/>
  <c r="K70" i="29"/>
  <c r="Y70" i="29" s="1"/>
  <c r="L81" i="29"/>
  <c r="Z81" i="29" s="1"/>
  <c r="K115" i="29"/>
  <c r="Y115" i="29" s="1"/>
  <c r="Y60" i="29"/>
  <c r="K80" i="29"/>
  <c r="Y80" i="29" s="1"/>
  <c r="L77" i="29"/>
  <c r="Z77" i="29" s="1"/>
  <c r="K148" i="29"/>
  <c r="Y148" i="29" s="1"/>
  <c r="K128" i="29"/>
  <c r="Y128" i="29" s="1"/>
  <c r="L91" i="29"/>
  <c r="Z91" i="29" s="1"/>
  <c r="K144" i="29"/>
  <c r="Y144" i="29" s="1"/>
  <c r="K120" i="29"/>
  <c r="Y120" i="29" s="1"/>
  <c r="L69" i="29"/>
  <c r="Z69" i="29" s="1"/>
  <c r="L106" i="29"/>
  <c r="Z106" i="29" s="1"/>
  <c r="P158" i="29"/>
  <c r="P54" i="29" s="1"/>
  <c r="F20" i="22"/>
  <c r="F21" i="22" s="1"/>
  <c r="Q52" i="53"/>
  <c r="Q88" i="53"/>
  <c r="Q77" i="53"/>
  <c r="Q104" i="53"/>
  <c r="Q72" i="53"/>
  <c r="Q84" i="53"/>
  <c r="Q45" i="53"/>
  <c r="Q133" i="53"/>
  <c r="Q49" i="53"/>
  <c r="J15" i="22"/>
  <c r="K41" i="31"/>
  <c r="AA10" i="53"/>
  <c r="I25" i="44"/>
  <c r="H8" i="38"/>
  <c r="J50" i="29"/>
  <c r="I9" i="44"/>
  <c r="L8" i="35"/>
  <c r="L104" i="35" s="1"/>
  <c r="I10" i="43"/>
  <c r="AI10" i="43"/>
  <c r="K155" i="24"/>
  <c r="O79" i="13"/>
  <c r="O111" i="13"/>
  <c r="P47" i="13"/>
  <c r="AH47" i="13"/>
  <c r="O67" i="13"/>
  <c r="I111" i="13"/>
  <c r="AJ79" i="13"/>
  <c r="I162" i="13"/>
  <c r="G185" i="13"/>
  <c r="E147" i="13"/>
  <c r="K186" i="13"/>
  <c r="K218" i="13" s="1"/>
  <c r="K250" i="13" s="1"/>
  <c r="K282" i="13" s="1"/>
  <c r="E116" i="13"/>
  <c r="J116" i="13" s="1"/>
  <c r="I129" i="13"/>
  <c r="I156" i="13"/>
  <c r="K151" i="13"/>
  <c r="AD15" i="13"/>
  <c r="AE15" i="13"/>
  <c r="R15" i="13" s="1"/>
  <c r="AL15" i="13"/>
  <c r="AL35" i="13" s="1"/>
  <c r="I57" i="22"/>
  <c r="I59" i="22" s="1"/>
  <c r="N40" i="35" s="1"/>
  <c r="J57" i="22"/>
  <c r="P52" i="29"/>
  <c r="I149" i="13"/>
  <c r="G162" i="13"/>
  <c r="G147" i="13"/>
  <c r="AK147" i="13" s="1"/>
  <c r="AL147" i="13" s="1"/>
  <c r="I159" i="13"/>
  <c r="I115" i="13"/>
  <c r="J115" i="13" s="1"/>
  <c r="AB115" i="13" s="1"/>
  <c r="G189" i="13"/>
  <c r="E114" i="13"/>
  <c r="J114" i="13" s="1"/>
  <c r="AB114" i="13" s="1"/>
  <c r="I114" i="13"/>
  <c r="E148" i="13"/>
  <c r="J148" i="13" s="1"/>
  <c r="G216" i="13"/>
  <c r="K158" i="13"/>
  <c r="F57" i="22"/>
  <c r="F59" i="22" s="1"/>
  <c r="K40" i="35" s="1"/>
  <c r="J96" i="18"/>
  <c r="J239" i="18" s="1"/>
  <c r="J121" i="18"/>
  <c r="I271" i="18" s="1"/>
  <c r="O125" i="53"/>
  <c r="J125" i="53"/>
  <c r="P44" i="53"/>
  <c r="K44" i="53"/>
  <c r="K60" i="53"/>
  <c r="P60" i="53"/>
  <c r="L116" i="53"/>
  <c r="Q116" i="53"/>
  <c r="L89" i="29"/>
  <c r="Z89" i="29" s="1"/>
  <c r="I151" i="13"/>
  <c r="L128" i="53"/>
  <c r="Q128" i="53"/>
  <c r="K20" i="53"/>
  <c r="P20" i="53"/>
  <c r="I152" i="13"/>
  <c r="M223" i="31"/>
  <c r="G219" i="13"/>
  <c r="J92" i="43"/>
  <c r="J130" i="43"/>
  <c r="K112" i="43"/>
  <c r="K114" i="43"/>
  <c r="L153" i="29"/>
  <c r="Z153" i="29" s="1"/>
  <c r="J69" i="53"/>
  <c r="O69" i="53"/>
  <c r="I144" i="13"/>
  <c r="M228" i="31"/>
  <c r="J135" i="43"/>
  <c r="J48" i="43"/>
  <c r="J80" i="43"/>
  <c r="J116" i="43"/>
  <c r="K44" i="43"/>
  <c r="J100" i="43"/>
  <c r="J110" i="43"/>
  <c r="K131" i="43"/>
  <c r="K134" i="43"/>
  <c r="K156" i="29"/>
  <c r="Y156" i="29" s="1"/>
  <c r="AH15" i="53"/>
  <c r="AG141" i="53"/>
  <c r="AG12" i="53" s="1"/>
  <c r="K93" i="29"/>
  <c r="Y93" i="29" s="1"/>
  <c r="J95" i="53"/>
  <c r="O95" i="53"/>
  <c r="K117" i="53"/>
  <c r="L72" i="29"/>
  <c r="Z72" i="29" s="1"/>
  <c r="I150" i="13"/>
  <c r="K21" i="53"/>
  <c r="I122" i="13"/>
  <c r="M217" i="31"/>
  <c r="K124" i="43"/>
  <c r="L102" i="43"/>
  <c r="K104" i="43"/>
  <c r="L77" i="43"/>
  <c r="O37" i="53"/>
  <c r="J37" i="53"/>
  <c r="J103" i="53"/>
  <c r="O103" i="53"/>
  <c r="K80" i="53"/>
  <c r="P110" i="53"/>
  <c r="K110" i="53"/>
  <c r="L68" i="53"/>
  <c r="K124" i="53"/>
  <c r="M74" i="29"/>
  <c r="M237" i="31"/>
  <c r="J132" i="43"/>
  <c r="J56" i="43"/>
  <c r="J96" i="43"/>
  <c r="K138" i="43"/>
  <c r="J60" i="43"/>
  <c r="J139" i="43"/>
  <c r="H57" i="22"/>
  <c r="H59" i="22" s="1"/>
  <c r="M40" i="35" s="1"/>
  <c r="E57" i="22"/>
  <c r="E59" i="22" s="1"/>
  <c r="J40" i="35" s="1"/>
  <c r="I79" i="18"/>
  <c r="I134" i="18"/>
  <c r="J103" i="18"/>
  <c r="I103" i="18"/>
  <c r="T15" i="36"/>
  <c r="I31" i="37" s="1"/>
  <c r="M61" i="31"/>
  <c r="M41" i="31"/>
  <c r="N19" i="31"/>
  <c r="N61" i="31" s="1"/>
  <c r="K61" i="31"/>
  <c r="L41" i="31"/>
  <c r="L61" i="31"/>
  <c r="R37" i="36"/>
  <c r="R66" i="36"/>
  <c r="R56" i="36"/>
  <c r="R27" i="36"/>
  <c r="R33" i="36"/>
  <c r="R28" i="36"/>
  <c r="R47" i="36"/>
  <c r="R67" i="36"/>
  <c r="R45" i="36"/>
  <c r="R38" i="36"/>
  <c r="R23" i="36"/>
  <c r="R52" i="36"/>
  <c r="R16" i="36"/>
  <c r="R39" i="36"/>
  <c r="R54" i="36"/>
  <c r="R36" i="36"/>
  <c r="R32" i="36"/>
  <c r="R63" i="36"/>
  <c r="R25" i="36"/>
  <c r="R69" i="36"/>
  <c r="R35" i="36"/>
  <c r="R31" i="36"/>
  <c r="R50" i="36"/>
  <c r="R40" i="36"/>
  <c r="R62" i="36"/>
  <c r="G8" i="37"/>
  <c r="R46" i="36"/>
  <c r="R26" i="36"/>
  <c r="AB8" i="36"/>
  <c r="R29" i="36"/>
  <c r="R44" i="36"/>
  <c r="R70" i="36"/>
  <c r="R18" i="36"/>
  <c r="R24" i="36"/>
  <c r="R21" i="36"/>
  <c r="R17" i="36"/>
  <c r="R53" i="36"/>
  <c r="R34" i="36"/>
  <c r="R48" i="36"/>
  <c r="R43" i="36"/>
  <c r="R57" i="36"/>
  <c r="R61" i="36"/>
  <c r="R20" i="36"/>
  <c r="R19" i="36"/>
  <c r="R58" i="36"/>
  <c r="R49" i="36"/>
  <c r="R41" i="36"/>
  <c r="R30" i="36"/>
  <c r="R64" i="36"/>
  <c r="R55" i="36"/>
  <c r="R22" i="36"/>
  <c r="R51" i="36"/>
  <c r="R65" i="36"/>
  <c r="R68" i="36"/>
  <c r="R59" i="36"/>
  <c r="R42" i="36"/>
  <c r="U8" i="36"/>
  <c r="R60" i="36"/>
  <c r="T60" i="36"/>
  <c r="T45" i="36"/>
  <c r="W8" i="36"/>
  <c r="W15" i="36" s="1"/>
  <c r="T37" i="36"/>
  <c r="T63" i="36"/>
  <c r="T16" i="36"/>
  <c r="T39" i="36"/>
  <c r="T43" i="36"/>
  <c r="T34" i="36"/>
  <c r="T48" i="36"/>
  <c r="T31" i="36"/>
  <c r="T50" i="36"/>
  <c r="T47" i="36"/>
  <c r="T53" i="36"/>
  <c r="T40" i="36"/>
  <c r="T68" i="36"/>
  <c r="T35" i="36"/>
  <c r="T58" i="36"/>
  <c r="T27" i="36"/>
  <c r="AD8" i="36"/>
  <c r="T28" i="36"/>
  <c r="T56" i="36"/>
  <c r="T69" i="36"/>
  <c r="T21" i="36"/>
  <c r="T26" i="36"/>
  <c r="T57" i="36"/>
  <c r="T38" i="36"/>
  <c r="T42" i="36"/>
  <c r="T41" i="36"/>
  <c r="T18" i="36"/>
  <c r="T62" i="36"/>
  <c r="T67" i="36"/>
  <c r="T64" i="36"/>
  <c r="T33" i="36"/>
  <c r="T29" i="36"/>
  <c r="I8" i="37"/>
  <c r="T54" i="36"/>
  <c r="T49" i="36"/>
  <c r="T55" i="36"/>
  <c r="T59" i="36"/>
  <c r="T52" i="36"/>
  <c r="T36" i="36"/>
  <c r="T17" i="36"/>
  <c r="T20" i="36"/>
  <c r="T23" i="36"/>
  <c r="T46" i="36"/>
  <c r="T24" i="36"/>
  <c r="T61" i="36"/>
  <c r="T51" i="36"/>
  <c r="T70" i="36"/>
  <c r="T32" i="36"/>
  <c r="T19" i="36"/>
  <c r="T66" i="36"/>
  <c r="T65" i="36"/>
  <c r="T25" i="36"/>
  <c r="T44" i="36"/>
  <c r="T30" i="36"/>
  <c r="T22" i="36"/>
  <c r="O14" i="29"/>
  <c r="AA66" i="36"/>
  <c r="AA55" i="36"/>
  <c r="AA25" i="36"/>
  <c r="AA60" i="36"/>
  <c r="AA17" i="36"/>
  <c r="AA21" i="36"/>
  <c r="AA38" i="36"/>
  <c r="AA34" i="36"/>
  <c r="AA26" i="36"/>
  <c r="AA47" i="36"/>
  <c r="AA36" i="36"/>
  <c r="AA30" i="36"/>
  <c r="AA65" i="36"/>
  <c r="AA54" i="36"/>
  <c r="F20" i="49"/>
  <c r="H34" i="38"/>
  <c r="K33" i="38"/>
  <c r="J77" i="38" s="1"/>
  <c r="I14" i="49"/>
  <c r="J21" i="39"/>
  <c r="G24" i="40" s="1"/>
  <c r="J16" i="39"/>
  <c r="F38" i="40"/>
  <c r="J47" i="39"/>
  <c r="I54" i="39"/>
  <c r="J20" i="39"/>
  <c r="G23" i="40" s="1"/>
  <c r="J19" i="39"/>
  <c r="G22" i="40" s="1"/>
  <c r="J14" i="39"/>
  <c r="F37" i="40"/>
  <c r="F24" i="40"/>
  <c r="J43" i="39"/>
  <c r="I45" i="39"/>
  <c r="F44" i="40" s="1"/>
  <c r="F22" i="40"/>
  <c r="F80" i="38"/>
  <c r="R15" i="36"/>
  <c r="Q15" i="36"/>
  <c r="F31" i="37" s="1"/>
  <c r="J110" i="35" s="1"/>
  <c r="H12" i="37"/>
  <c r="J19" i="48"/>
  <c r="J214" i="48" s="1"/>
  <c r="O68" i="35"/>
  <c r="O224" i="35" s="1"/>
  <c r="M85" i="35"/>
  <c r="L91" i="35"/>
  <c r="K206" i="35"/>
  <c r="L124" i="35"/>
  <c r="N22" i="35"/>
  <c r="M26" i="35"/>
  <c r="J134" i="35"/>
  <c r="M129" i="35"/>
  <c r="L131" i="35"/>
  <c r="G31" i="49" s="1"/>
  <c r="J206" i="35"/>
  <c r="J224" i="35"/>
  <c r="M206" i="35"/>
  <c r="K134" i="35"/>
  <c r="K208" i="35"/>
  <c r="K81" i="35"/>
  <c r="J209" i="35"/>
  <c r="J94" i="35"/>
  <c r="L68" i="35"/>
  <c r="M50" i="18"/>
  <c r="M69" i="18" s="1"/>
  <c r="J69" i="18"/>
  <c r="H99" i="18"/>
  <c r="E161" i="13"/>
  <c r="G146" i="13"/>
  <c r="AK146" i="13" s="1"/>
  <c r="AL146" i="13" s="1"/>
  <c r="G160" i="13"/>
  <c r="G161" i="13"/>
  <c r="K144" i="13"/>
  <c r="E117" i="13"/>
  <c r="J117" i="13" s="1"/>
  <c r="AB117" i="13" s="1"/>
  <c r="E121" i="13"/>
  <c r="G145" i="13"/>
  <c r="AK145" i="13" s="1"/>
  <c r="AL145" i="13" s="1"/>
  <c r="G186" i="13"/>
  <c r="G156" i="13"/>
  <c r="L50" i="18"/>
  <c r="H271" i="18"/>
  <c r="I69" i="18"/>
  <c r="H269" i="18"/>
  <c r="H235" i="18"/>
  <c r="L91" i="18"/>
  <c r="K96" i="18"/>
  <c r="K84" i="18"/>
  <c r="J87" i="18"/>
  <c r="I269" i="18"/>
  <c r="L116" i="18"/>
  <c r="K121" i="18"/>
  <c r="H234" i="18"/>
  <c r="H227" i="18" s="1"/>
  <c r="H124" i="18"/>
  <c r="I99" i="18"/>
  <c r="G17" i="38"/>
  <c r="I112" i="18"/>
  <c r="I234" i="18" s="1"/>
  <c r="I227" i="18" s="1"/>
  <c r="J107" i="18"/>
  <c r="J233" i="18" s="1"/>
  <c r="J226" i="18" s="1"/>
  <c r="H263" i="18"/>
  <c r="H256" i="18" s="1"/>
  <c r="H262" i="18"/>
  <c r="H255" i="18" s="1"/>
  <c r="E144" i="13"/>
  <c r="J144" i="13" s="1"/>
  <c r="AB144" i="13" s="1"/>
  <c r="E124" i="13"/>
  <c r="E157" i="13"/>
  <c r="E120" i="13"/>
  <c r="E123" i="13"/>
  <c r="I125" i="13"/>
  <c r="E128" i="13"/>
  <c r="E127" i="13"/>
  <c r="E158" i="13"/>
  <c r="I145" i="13"/>
  <c r="I155" i="13"/>
  <c r="E154" i="13"/>
  <c r="K129" i="13"/>
  <c r="E150" i="13"/>
  <c r="I160" i="13"/>
  <c r="E119" i="13"/>
  <c r="J119" i="13" s="1"/>
  <c r="I121" i="13"/>
  <c r="E113" i="13"/>
  <c r="J113" i="13" s="1"/>
  <c r="AB113" i="13" s="1"/>
  <c r="I158" i="13"/>
  <c r="G126" i="13"/>
  <c r="K219" i="13"/>
  <c r="E207" i="13"/>
  <c r="E239" i="13" s="1"/>
  <c r="G217" i="13"/>
  <c r="K27" i="31"/>
  <c r="K44" i="31" s="1"/>
  <c r="R57" i="29"/>
  <c r="H33" i="18"/>
  <c r="M24" i="31"/>
  <c r="J96" i="49"/>
  <c r="G40" i="1"/>
  <c r="G39" i="1"/>
  <c r="H15" i="18"/>
  <c r="H40" i="1"/>
  <c r="H39" i="1"/>
  <c r="I15" i="18"/>
  <c r="L26" i="31"/>
  <c r="I98" i="49"/>
  <c r="I24" i="1"/>
  <c r="D131" i="22"/>
  <c r="D138" i="22"/>
  <c r="G73" i="47" s="1"/>
  <c r="I73" i="47" s="1"/>
  <c r="H128" i="22"/>
  <c r="K143" i="13"/>
  <c r="K131" i="13"/>
  <c r="J24" i="22"/>
  <c r="K23" i="22"/>
  <c r="J14" i="37"/>
  <c r="C131" i="22"/>
  <c r="J28" i="35"/>
  <c r="N114" i="31"/>
  <c r="AD47" i="13" l="1"/>
  <c r="I32" i="1"/>
  <c r="I33" i="1"/>
  <c r="AA40" i="36"/>
  <c r="AA58" i="36"/>
  <c r="AA50" i="36"/>
  <c r="AA59" i="36"/>
  <c r="AA46" i="36"/>
  <c r="AA19" i="36"/>
  <c r="AA52" i="36"/>
  <c r="AA29" i="36"/>
  <c r="AA14" i="36"/>
  <c r="AA42" i="36"/>
  <c r="AA28" i="36"/>
  <c r="AA18" i="36"/>
  <c r="AA69" i="36"/>
  <c r="AA20" i="36"/>
  <c r="AA31" i="36"/>
  <c r="AA16" i="36"/>
  <c r="AA51" i="36"/>
  <c r="AA32" i="36"/>
  <c r="AA63" i="36"/>
  <c r="AA24" i="36"/>
  <c r="AA57" i="36"/>
  <c r="AA70" i="36"/>
  <c r="AA22" i="36"/>
  <c r="AA64" i="36"/>
  <c r="AA67" i="36"/>
  <c r="AA37" i="36"/>
  <c r="AA68" i="36"/>
  <c r="AA41" i="36"/>
  <c r="AA53" i="36"/>
  <c r="AD87" i="13"/>
  <c r="AA45" i="36"/>
  <c r="AA39" i="36"/>
  <c r="AA44" i="36"/>
  <c r="AA62" i="36"/>
  <c r="AA61" i="36"/>
  <c r="AA33" i="36"/>
  <c r="AA43" i="36"/>
  <c r="AA56" i="36"/>
  <c r="AA15" i="36"/>
  <c r="AA49" i="36"/>
  <c r="AA35" i="36"/>
  <c r="AA23" i="36"/>
  <c r="AA48" i="36"/>
  <c r="AE87" i="13"/>
  <c r="E149" i="13"/>
  <c r="I148" i="13"/>
  <c r="AB148" i="13" s="1"/>
  <c r="AB116" i="13"/>
  <c r="N79" i="24"/>
  <c r="N195" i="24"/>
  <c r="L78" i="24"/>
  <c r="L194" i="24"/>
  <c r="N191" i="24"/>
  <c r="N75" i="24"/>
  <c r="K72" i="24"/>
  <c r="K188" i="24"/>
  <c r="N70" i="24"/>
  <c r="N186" i="24"/>
  <c r="L185" i="24"/>
  <c r="L69" i="24"/>
  <c r="N179" i="24"/>
  <c r="N63" i="24"/>
  <c r="L64" i="24"/>
  <c r="L180" i="24"/>
  <c r="K176" i="24"/>
  <c r="K60" i="24"/>
  <c r="L61" i="24"/>
  <c r="L177" i="24"/>
  <c r="K174" i="24"/>
  <c r="K58" i="24"/>
  <c r="M173" i="24"/>
  <c r="M57" i="24"/>
  <c r="L173" i="24"/>
  <c r="L57" i="24"/>
  <c r="M170" i="24"/>
  <c r="M54" i="24"/>
  <c r="O82" i="31"/>
  <c r="M55" i="24"/>
  <c r="M171" i="24"/>
  <c r="O83" i="31"/>
  <c r="N203" i="24"/>
  <c r="N87" i="24"/>
  <c r="L89" i="24"/>
  <c r="L205" i="24"/>
  <c r="L204" i="24"/>
  <c r="L88" i="24"/>
  <c r="N86" i="24"/>
  <c r="N202" i="24"/>
  <c r="K199" i="24"/>
  <c r="K83" i="24"/>
  <c r="N198" i="24"/>
  <c r="N82" i="24"/>
  <c r="M81" i="24"/>
  <c r="M197" i="24"/>
  <c r="L77" i="24"/>
  <c r="L193" i="24"/>
  <c r="L192" i="24"/>
  <c r="L76" i="24"/>
  <c r="L190" i="24"/>
  <c r="L74" i="24"/>
  <c r="K73" i="24"/>
  <c r="K189" i="24"/>
  <c r="M68" i="24"/>
  <c r="M184" i="24"/>
  <c r="L65" i="24"/>
  <c r="L181" i="24"/>
  <c r="L178" i="24"/>
  <c r="L62" i="24"/>
  <c r="N59" i="24"/>
  <c r="N175" i="24"/>
  <c r="M56" i="24"/>
  <c r="M172" i="24"/>
  <c r="K53" i="24"/>
  <c r="K169" i="24"/>
  <c r="N76" i="31"/>
  <c r="L166" i="24"/>
  <c r="L50" i="24"/>
  <c r="M163" i="24"/>
  <c r="M47" i="24"/>
  <c r="T47" i="13"/>
  <c r="T67" i="13" s="1"/>
  <c r="AE47" i="13"/>
  <c r="AL99" i="13"/>
  <c r="H326" i="13" s="1"/>
  <c r="G18" i="47"/>
  <c r="M8" i="35"/>
  <c r="M104" i="35" s="1"/>
  <c r="K144" i="48"/>
  <c r="K61" i="48"/>
  <c r="K21" i="48"/>
  <c r="K204" i="48"/>
  <c r="K216" i="48" s="1"/>
  <c r="K164" i="48"/>
  <c r="K81" i="48"/>
  <c r="K124" i="48"/>
  <c r="K184" i="48"/>
  <c r="K101" i="48"/>
  <c r="K41" i="48"/>
  <c r="G7" i="49"/>
  <c r="G91" i="49" s="1"/>
  <c r="J204" i="48"/>
  <c r="J216" i="48" s="1"/>
  <c r="J124" i="48"/>
  <c r="J41" i="48"/>
  <c r="J101" i="48"/>
  <c r="J144" i="48"/>
  <c r="J61" i="48"/>
  <c r="J184" i="48"/>
  <c r="J21" i="48"/>
  <c r="J164" i="48"/>
  <c r="J81" i="48"/>
  <c r="I195" i="18"/>
  <c r="J25" i="44"/>
  <c r="J33" i="22"/>
  <c r="I35" i="22"/>
  <c r="J118" i="13"/>
  <c r="AB118" i="13" s="1"/>
  <c r="T118" i="13" s="1"/>
  <c r="AB86" i="13"/>
  <c r="T86" i="13" s="1"/>
  <c r="AB82" i="13"/>
  <c r="T82" i="13" s="1"/>
  <c r="Q52" i="29"/>
  <c r="Q11" i="29" s="1"/>
  <c r="K145" i="18" s="1"/>
  <c r="AB119" i="13"/>
  <c r="T119" i="13" s="1"/>
  <c r="O18" i="29"/>
  <c r="I146" i="18"/>
  <c r="I147" i="18" s="1"/>
  <c r="I161" i="18" s="1"/>
  <c r="I235" i="18" s="1"/>
  <c r="AH85" i="13"/>
  <c r="P85" i="13"/>
  <c r="AK117" i="13"/>
  <c r="AL117" i="13" s="1"/>
  <c r="G149" i="13"/>
  <c r="P80" i="13"/>
  <c r="AH80" i="13"/>
  <c r="K182" i="13"/>
  <c r="O150" i="13"/>
  <c r="P84" i="13"/>
  <c r="AH84" i="13"/>
  <c r="AH83" i="13"/>
  <c r="P83" i="13"/>
  <c r="O115" i="13"/>
  <c r="K147" i="13"/>
  <c r="G105" i="49"/>
  <c r="H122" i="49"/>
  <c r="O144" i="13"/>
  <c r="T144" i="13"/>
  <c r="AK112" i="13"/>
  <c r="AL112" i="13" s="1"/>
  <c r="G144" i="13"/>
  <c r="K145" i="13"/>
  <c r="T113" i="13"/>
  <c r="O113" i="13"/>
  <c r="AK119" i="13"/>
  <c r="AL119" i="13" s="1"/>
  <c r="G151" i="13"/>
  <c r="R48" i="13"/>
  <c r="R50" i="13"/>
  <c r="G150" i="13"/>
  <c r="AK118" i="13"/>
  <c r="AL118" i="13" s="1"/>
  <c r="P82" i="13"/>
  <c r="AH82" i="13"/>
  <c r="K146" i="13"/>
  <c r="O114" i="13"/>
  <c r="K149" i="13"/>
  <c r="T117" i="13"/>
  <c r="O117" i="13"/>
  <c r="J149" i="13"/>
  <c r="AB149" i="13" s="1"/>
  <c r="O151" i="13"/>
  <c r="AK116" i="13"/>
  <c r="AL116" i="13" s="1"/>
  <c r="G148" i="13"/>
  <c r="AH81" i="13"/>
  <c r="P81" i="13"/>
  <c r="R49" i="13"/>
  <c r="P112" i="13"/>
  <c r="AH112" i="13"/>
  <c r="R55" i="13"/>
  <c r="AH119" i="13"/>
  <c r="P119" i="13"/>
  <c r="P118" i="13"/>
  <c r="AH118" i="13"/>
  <c r="K148" i="13"/>
  <c r="T116" i="13"/>
  <c r="S116" i="13"/>
  <c r="R116" i="13"/>
  <c r="U116" i="13"/>
  <c r="O116" i="13"/>
  <c r="AH87" i="13"/>
  <c r="P87" i="13"/>
  <c r="R53" i="13"/>
  <c r="P86" i="13"/>
  <c r="AH86" i="13"/>
  <c r="R54" i="13"/>
  <c r="R51" i="13"/>
  <c r="L152" i="29"/>
  <c r="Z152" i="29" s="1"/>
  <c r="M105" i="29"/>
  <c r="L92" i="29"/>
  <c r="Z92" i="29" s="1"/>
  <c r="Y92" i="29"/>
  <c r="R152" i="29"/>
  <c r="L114" i="29"/>
  <c r="Z114" i="29" s="1"/>
  <c r="R114" i="29"/>
  <c r="S146" i="29"/>
  <c r="Y100" i="29"/>
  <c r="L100" i="29"/>
  <c r="R100" i="29"/>
  <c r="Y116" i="29"/>
  <c r="R116" i="29"/>
  <c r="L116" i="29"/>
  <c r="L95" i="29"/>
  <c r="Z95" i="29" s="1"/>
  <c r="S105" i="29"/>
  <c r="S92" i="29"/>
  <c r="S72" i="29"/>
  <c r="R144" i="29"/>
  <c r="R148" i="29"/>
  <c r="R115" i="29"/>
  <c r="S121" i="29"/>
  <c r="R84" i="29"/>
  <c r="S67" i="29"/>
  <c r="R98" i="29"/>
  <c r="R132" i="29"/>
  <c r="R136" i="29"/>
  <c r="S130" i="29"/>
  <c r="S95" i="29"/>
  <c r="S103" i="29"/>
  <c r="R131" i="29"/>
  <c r="L131" i="29"/>
  <c r="Z131" i="29" s="1"/>
  <c r="S141" i="29"/>
  <c r="S153" i="29"/>
  <c r="S89" i="29"/>
  <c r="S106" i="29"/>
  <c r="S91" i="29"/>
  <c r="S77" i="29"/>
  <c r="S81" i="29"/>
  <c r="S137" i="29"/>
  <c r="S71" i="29"/>
  <c r="R107" i="29"/>
  <c r="R76" i="29"/>
  <c r="R110" i="29"/>
  <c r="R68" i="29"/>
  <c r="S154" i="29"/>
  <c r="S113" i="29"/>
  <c r="S133" i="29"/>
  <c r="S109" i="29"/>
  <c r="S129" i="29"/>
  <c r="R99" i="29"/>
  <c r="L99" i="29"/>
  <c r="Z99" i="29" s="1"/>
  <c r="R151" i="29"/>
  <c r="L151" i="29"/>
  <c r="Z151" i="29" s="1"/>
  <c r="S82" i="29"/>
  <c r="M82" i="29"/>
  <c r="R156" i="29"/>
  <c r="S69" i="29"/>
  <c r="R80" i="29"/>
  <c r="R70" i="29"/>
  <c r="S152" i="29"/>
  <c r="S90" i="29"/>
  <c r="R155" i="29"/>
  <c r="R124" i="29"/>
  <c r="R102" i="29"/>
  <c r="S122" i="29"/>
  <c r="S97" i="29"/>
  <c r="S149" i="29"/>
  <c r="L139" i="29"/>
  <c r="Z139" i="29" s="1"/>
  <c r="R139" i="29"/>
  <c r="R73" i="29"/>
  <c r="L73" i="29"/>
  <c r="Z73" i="29" s="1"/>
  <c r="S96" i="29"/>
  <c r="M96" i="29"/>
  <c r="M66" i="29"/>
  <c r="S66" i="29"/>
  <c r="R135" i="29"/>
  <c r="L135" i="29"/>
  <c r="Z135" i="29" s="1"/>
  <c r="X52" i="29"/>
  <c r="Q26" i="29" s="1"/>
  <c r="M141" i="35" s="1"/>
  <c r="M83" i="29"/>
  <c r="S83" i="29"/>
  <c r="W52" i="29"/>
  <c r="P26" i="29" s="1"/>
  <c r="W158" i="29"/>
  <c r="W54" i="29" s="1"/>
  <c r="S134" i="29"/>
  <c r="R143" i="29"/>
  <c r="L143" i="29"/>
  <c r="Z143" i="29" s="1"/>
  <c r="X53" i="29"/>
  <c r="Q29" i="29" s="1"/>
  <c r="M142" i="35" s="1"/>
  <c r="K52" i="29"/>
  <c r="R93" i="29"/>
  <c r="R52" i="29" s="1"/>
  <c r="R120" i="29"/>
  <c r="R128" i="29"/>
  <c r="R60" i="29"/>
  <c r="S138" i="29"/>
  <c r="S114" i="29"/>
  <c r="R140" i="29"/>
  <c r="R64" i="29"/>
  <c r="S61" i="29"/>
  <c r="S94" i="29"/>
  <c r="S145" i="29"/>
  <c r="S65" i="29"/>
  <c r="S63" i="29"/>
  <c r="S87" i="29"/>
  <c r="S79" i="29"/>
  <c r="S117" i="29"/>
  <c r="S85" i="29"/>
  <c r="R92" i="29"/>
  <c r="L123" i="29"/>
  <c r="Z123" i="29" s="1"/>
  <c r="R123" i="29"/>
  <c r="L111" i="29"/>
  <c r="Z111" i="29" s="1"/>
  <c r="R111" i="29"/>
  <c r="S125" i="29"/>
  <c r="R119" i="29"/>
  <c r="L119" i="29"/>
  <c r="Z119" i="29" s="1"/>
  <c r="R137" i="29"/>
  <c r="S62" i="29"/>
  <c r="R147" i="29"/>
  <c r="L147" i="29"/>
  <c r="Z147" i="29" s="1"/>
  <c r="R127" i="29"/>
  <c r="L127" i="29"/>
  <c r="Z127" i="29" s="1"/>
  <c r="S88" i="29"/>
  <c r="M75" i="29"/>
  <c r="S75" i="29"/>
  <c r="K16" i="35"/>
  <c r="I19" i="18"/>
  <c r="H99" i="49"/>
  <c r="L15" i="35"/>
  <c r="P35" i="29" s="1"/>
  <c r="I20" i="18"/>
  <c r="O13" i="29" s="1"/>
  <c r="O15" i="29" s="1"/>
  <c r="K17" i="35"/>
  <c r="O28" i="29" s="1"/>
  <c r="O30" i="29" s="1"/>
  <c r="O8" i="29"/>
  <c r="V50" i="29"/>
  <c r="P8" i="29"/>
  <c r="W50" i="29"/>
  <c r="M85" i="29"/>
  <c r="H67" i="18"/>
  <c r="G53" i="22"/>
  <c r="G55" i="22" s="1"/>
  <c r="J67" i="18" s="1"/>
  <c r="F53" i="22"/>
  <c r="F55" i="22" s="1"/>
  <c r="I67" i="18" s="1"/>
  <c r="I53" i="22"/>
  <c r="I55" i="22" s="1"/>
  <c r="L67" i="18" s="1"/>
  <c r="H53" i="22"/>
  <c r="H55" i="22" s="1"/>
  <c r="K67" i="18" s="1"/>
  <c r="N46" i="24"/>
  <c r="N162" i="24"/>
  <c r="M46" i="24"/>
  <c r="M162" i="24"/>
  <c r="L46" i="24"/>
  <c r="L162" i="24"/>
  <c r="L161" i="24"/>
  <c r="L45" i="24"/>
  <c r="L44" i="24"/>
  <c r="L160" i="24"/>
  <c r="M160" i="24"/>
  <c r="M44" i="24"/>
  <c r="J26" i="18"/>
  <c r="I16" i="18"/>
  <c r="I17" i="18" s="1"/>
  <c r="O20" i="29" s="1"/>
  <c r="H16" i="18"/>
  <c r="H17" i="18" s="1"/>
  <c r="M224" i="35"/>
  <c r="K53" i="29"/>
  <c r="M103" i="29"/>
  <c r="M92" i="29"/>
  <c r="K8" i="18"/>
  <c r="K79" i="18" s="1"/>
  <c r="H7" i="49"/>
  <c r="H91" i="49" s="1"/>
  <c r="K222" i="18"/>
  <c r="AJ10" i="43"/>
  <c r="Q50" i="29"/>
  <c r="L155" i="24"/>
  <c r="J39" i="18"/>
  <c r="J134" i="18"/>
  <c r="I8" i="40"/>
  <c r="J9" i="44"/>
  <c r="L8" i="39"/>
  <c r="L61" i="39" s="1"/>
  <c r="AD10" i="43"/>
  <c r="P10" i="53"/>
  <c r="V10" i="53" s="1"/>
  <c r="J10" i="43"/>
  <c r="AH10" i="53"/>
  <c r="AB10" i="53"/>
  <c r="I4" i="22"/>
  <c r="K143" i="18"/>
  <c r="K172" i="18" s="1"/>
  <c r="O12" i="36"/>
  <c r="S48" i="36"/>
  <c r="S68" i="36"/>
  <c r="S28" i="36"/>
  <c r="S47" i="36"/>
  <c r="S36" i="36"/>
  <c r="S46" i="36"/>
  <c r="S21" i="36"/>
  <c r="S30" i="36"/>
  <c r="S62" i="36"/>
  <c r="S25" i="36"/>
  <c r="S45" i="36"/>
  <c r="S57" i="36"/>
  <c r="S33" i="36"/>
  <c r="S34" i="36"/>
  <c r="S26" i="36"/>
  <c r="S40" i="36"/>
  <c r="S67" i="36"/>
  <c r="S23" i="36"/>
  <c r="S59" i="36"/>
  <c r="S56" i="36"/>
  <c r="S41" i="36"/>
  <c r="S65" i="36"/>
  <c r="S64" i="36"/>
  <c r="S61" i="36"/>
  <c r="S53" i="36"/>
  <c r="S58" i="36"/>
  <c r="S70" i="36"/>
  <c r="S32" i="36"/>
  <c r="AC8" i="36"/>
  <c r="S49" i="36"/>
  <c r="S55" i="36"/>
  <c r="S66" i="36"/>
  <c r="S16" i="36"/>
  <c r="S29" i="36"/>
  <c r="S22" i="36"/>
  <c r="S43" i="36"/>
  <c r="S18" i="36"/>
  <c r="S44" i="36"/>
  <c r="S19" i="36"/>
  <c r="S31" i="36"/>
  <c r="S17" i="36"/>
  <c r="S50" i="36"/>
  <c r="S24" i="36"/>
  <c r="S69" i="36"/>
  <c r="S54" i="36"/>
  <c r="S52" i="36"/>
  <c r="S14" i="36"/>
  <c r="S38" i="36"/>
  <c r="S39" i="36"/>
  <c r="S60" i="36"/>
  <c r="S51" i="36"/>
  <c r="S63" i="36"/>
  <c r="V8" i="36"/>
  <c r="S15" i="36"/>
  <c r="S35" i="36"/>
  <c r="H8" i="37"/>
  <c r="S37" i="36"/>
  <c r="S20" i="36"/>
  <c r="S42" i="36"/>
  <c r="S27" i="36"/>
  <c r="J114" i="35"/>
  <c r="J212" i="35" s="1"/>
  <c r="M110" i="35"/>
  <c r="K50" i="29"/>
  <c r="H41" i="22"/>
  <c r="I8" i="38"/>
  <c r="K20" i="24"/>
  <c r="J31" i="24"/>
  <c r="N77" i="43"/>
  <c r="N121" i="43"/>
  <c r="N67" i="43"/>
  <c r="N123" i="43"/>
  <c r="N129" i="43"/>
  <c r="N105" i="43"/>
  <c r="N113" i="43"/>
  <c r="N127" i="43"/>
  <c r="N93" i="43"/>
  <c r="N135" i="43"/>
  <c r="N131" i="43"/>
  <c r="N137" i="43"/>
  <c r="N61" i="43"/>
  <c r="N103" i="43"/>
  <c r="N62" i="43"/>
  <c r="N90" i="43"/>
  <c r="N100" i="43"/>
  <c r="N80" i="43"/>
  <c r="N81" i="43"/>
  <c r="N126" i="43"/>
  <c r="N95" i="43"/>
  <c r="N73" i="43"/>
  <c r="N88" i="43"/>
  <c r="N122" i="43"/>
  <c r="N70" i="43"/>
  <c r="N66" i="43"/>
  <c r="N98" i="43"/>
  <c r="I23" i="43"/>
  <c r="N23" i="43"/>
  <c r="I22" i="43"/>
  <c r="N22" i="43"/>
  <c r="I15" i="43"/>
  <c r="N15" i="43"/>
  <c r="I21" i="43"/>
  <c r="N21" i="43"/>
  <c r="I36" i="43"/>
  <c r="N36" i="43"/>
  <c r="I20" i="43"/>
  <c r="N20" i="43"/>
  <c r="I26" i="43"/>
  <c r="N26" i="43"/>
  <c r="I17" i="43"/>
  <c r="N17" i="43"/>
  <c r="I32" i="43"/>
  <c r="N32" i="43"/>
  <c r="I35" i="43"/>
  <c r="N35" i="43"/>
  <c r="I19" i="43"/>
  <c r="N19" i="43"/>
  <c r="I18" i="43"/>
  <c r="N18" i="43"/>
  <c r="I25" i="43"/>
  <c r="N25" i="43"/>
  <c r="N94" i="43"/>
  <c r="N132" i="43"/>
  <c r="N110" i="43"/>
  <c r="N112" i="43"/>
  <c r="N97" i="43"/>
  <c r="N63" i="43"/>
  <c r="N39" i="43"/>
  <c r="N46" i="43"/>
  <c r="N78" i="43"/>
  <c r="N43" i="43"/>
  <c r="N42" i="43"/>
  <c r="N74" i="43"/>
  <c r="N57" i="43"/>
  <c r="N71" i="43"/>
  <c r="N108" i="43"/>
  <c r="N124" i="43"/>
  <c r="N41" i="43"/>
  <c r="N64" i="43"/>
  <c r="N96" i="43"/>
  <c r="N49" i="43"/>
  <c r="N52" i="43"/>
  <c r="N84" i="43"/>
  <c r="N47" i="43"/>
  <c r="N102" i="43"/>
  <c r="N118" i="43"/>
  <c r="N134" i="43"/>
  <c r="V15" i="43"/>
  <c r="U141" i="43"/>
  <c r="U12" i="43" s="1"/>
  <c r="N76" i="43"/>
  <c r="N114" i="43"/>
  <c r="N55" i="43"/>
  <c r="N104" i="43"/>
  <c r="N120" i="43"/>
  <c r="N136" i="43"/>
  <c r="N45" i="43"/>
  <c r="N72" i="43"/>
  <c r="N60" i="43"/>
  <c r="N106" i="43"/>
  <c r="N138" i="43"/>
  <c r="N58" i="43"/>
  <c r="N89" i="43"/>
  <c r="N116" i="43"/>
  <c r="N48" i="43"/>
  <c r="N44" i="43"/>
  <c r="N68" i="43"/>
  <c r="N79" i="43"/>
  <c r="N65" i="43"/>
  <c r="N130" i="43"/>
  <c r="N87" i="43"/>
  <c r="N128" i="43"/>
  <c r="N56" i="43"/>
  <c r="N92" i="43"/>
  <c r="N54" i="43"/>
  <c r="N86" i="43"/>
  <c r="N38" i="43"/>
  <c r="N50" i="43"/>
  <c r="N82" i="43"/>
  <c r="N37" i="43"/>
  <c r="I31" i="43"/>
  <c r="N31" i="43"/>
  <c r="I30" i="43"/>
  <c r="N30" i="43"/>
  <c r="I29" i="43"/>
  <c r="N29" i="43"/>
  <c r="I28" i="43"/>
  <c r="N28" i="43"/>
  <c r="I16" i="43"/>
  <c r="N16" i="43"/>
  <c r="I27" i="43"/>
  <c r="N27" i="43"/>
  <c r="I34" i="43"/>
  <c r="N34" i="43"/>
  <c r="I33" i="43"/>
  <c r="N33" i="43"/>
  <c r="I24" i="43"/>
  <c r="N24" i="43"/>
  <c r="Q132" i="43"/>
  <c r="R104" i="43"/>
  <c r="Q92" i="43"/>
  <c r="R73" i="43"/>
  <c r="L73" i="43"/>
  <c r="R138" i="43"/>
  <c r="S102" i="43"/>
  <c r="Q110" i="43"/>
  <c r="Q80" i="43"/>
  <c r="R114" i="43"/>
  <c r="R75" i="43"/>
  <c r="L75" i="43"/>
  <c r="S129" i="43"/>
  <c r="S52" i="43"/>
  <c r="S72" i="43"/>
  <c r="R76" i="43"/>
  <c r="L76" i="43"/>
  <c r="R103" i="43"/>
  <c r="L103" i="43"/>
  <c r="Q139" i="43"/>
  <c r="S77" i="43"/>
  <c r="Q116" i="43"/>
  <c r="Q96" i="43"/>
  <c r="R124" i="43"/>
  <c r="Q100" i="43"/>
  <c r="Q48" i="43"/>
  <c r="R112" i="43"/>
  <c r="S87" i="43"/>
  <c r="S84" i="43"/>
  <c r="R107" i="43"/>
  <c r="L107" i="43"/>
  <c r="S68" i="43"/>
  <c r="R126" i="43"/>
  <c r="L126" i="43"/>
  <c r="R105" i="43"/>
  <c r="L105" i="43"/>
  <c r="Q60" i="43"/>
  <c r="R131" i="43"/>
  <c r="S118" i="43"/>
  <c r="R108" i="43"/>
  <c r="S55" i="43"/>
  <c r="S125" i="43"/>
  <c r="Q56" i="43"/>
  <c r="L108" i="43"/>
  <c r="R134" i="43"/>
  <c r="R44" i="43"/>
  <c r="Q135" i="43"/>
  <c r="Q130" i="43"/>
  <c r="R127" i="43"/>
  <c r="L127" i="43"/>
  <c r="S41" i="43"/>
  <c r="S93" i="43"/>
  <c r="S47" i="43"/>
  <c r="K120" i="53"/>
  <c r="L93" i="53"/>
  <c r="K89" i="53"/>
  <c r="L106" i="53"/>
  <c r="L64" i="53"/>
  <c r="Q64" i="53"/>
  <c r="K48" i="53"/>
  <c r="L48" i="53" s="1"/>
  <c r="L84" i="53"/>
  <c r="Q33" i="53"/>
  <c r="K121" i="53"/>
  <c r="L56" i="53"/>
  <c r="P100" i="53"/>
  <c r="K100" i="53"/>
  <c r="L113" i="53"/>
  <c r="L109" i="53"/>
  <c r="L129" i="53"/>
  <c r="R129" i="53" s="1"/>
  <c r="Q109" i="53"/>
  <c r="Q73" i="53"/>
  <c r="P132" i="53"/>
  <c r="K132" i="53"/>
  <c r="Q56" i="53"/>
  <c r="L89" i="53"/>
  <c r="Q89" i="53"/>
  <c r="K53" i="53"/>
  <c r="P53" i="53"/>
  <c r="K136" i="53"/>
  <c r="P136" i="53"/>
  <c r="K85" i="53"/>
  <c r="P85" i="53"/>
  <c r="L92" i="53"/>
  <c r="J35" i="53"/>
  <c r="O35" i="53"/>
  <c r="J99" i="53"/>
  <c r="O99" i="53"/>
  <c r="J115" i="53"/>
  <c r="O115" i="53"/>
  <c r="O139" i="53"/>
  <c r="J139" i="53"/>
  <c r="O135" i="53"/>
  <c r="J135" i="53"/>
  <c r="J43" i="53"/>
  <c r="O43" i="53"/>
  <c r="J111" i="53"/>
  <c r="O111" i="53"/>
  <c r="J87" i="53"/>
  <c r="O87" i="53"/>
  <c r="J67" i="53"/>
  <c r="O67" i="53"/>
  <c r="J75" i="53"/>
  <c r="O75" i="53"/>
  <c r="J51" i="53"/>
  <c r="O51" i="53"/>
  <c r="K107" i="53"/>
  <c r="P107" i="53"/>
  <c r="J123" i="53"/>
  <c r="O123" i="53"/>
  <c r="P119" i="53"/>
  <c r="K119" i="53"/>
  <c r="K16" i="53"/>
  <c r="P16" i="53"/>
  <c r="J19" i="53"/>
  <c r="O19" i="53"/>
  <c r="O63" i="53"/>
  <c r="J63" i="53"/>
  <c r="J47" i="53"/>
  <c r="O47" i="53"/>
  <c r="J79" i="53"/>
  <c r="O79" i="53"/>
  <c r="K108" i="53"/>
  <c r="P108" i="53"/>
  <c r="K97" i="53"/>
  <c r="P97" i="53"/>
  <c r="J23" i="53"/>
  <c r="O23" i="53"/>
  <c r="O55" i="53"/>
  <c r="J55" i="53"/>
  <c r="J39" i="53"/>
  <c r="O39" i="53"/>
  <c r="J27" i="53"/>
  <c r="O27" i="53"/>
  <c r="Q29" i="53"/>
  <c r="L29" i="53"/>
  <c r="J59" i="53"/>
  <c r="O59" i="53"/>
  <c r="L112" i="53"/>
  <c r="J83" i="53"/>
  <c r="O83" i="53"/>
  <c r="L41" i="53"/>
  <c r="Q41" i="53"/>
  <c r="L57" i="53"/>
  <c r="O131" i="53"/>
  <c r="J131" i="53"/>
  <c r="K36" i="53"/>
  <c r="P36" i="53"/>
  <c r="J91" i="53"/>
  <c r="O91" i="53"/>
  <c r="J46" i="53"/>
  <c r="O46" i="53"/>
  <c r="J62" i="53"/>
  <c r="O62" i="53"/>
  <c r="L96" i="53"/>
  <c r="L24" i="53"/>
  <c r="Q24" i="53"/>
  <c r="J22" i="53"/>
  <c r="O22" i="53"/>
  <c r="J118" i="53"/>
  <c r="O118" i="53"/>
  <c r="L76" i="53"/>
  <c r="J134" i="53"/>
  <c r="O134" i="53"/>
  <c r="K127" i="53"/>
  <c r="P127" i="53"/>
  <c r="Q48" i="53"/>
  <c r="Q96" i="53"/>
  <c r="J58" i="53"/>
  <c r="O58" i="53"/>
  <c r="J114" i="53"/>
  <c r="O114" i="53"/>
  <c r="J122" i="53"/>
  <c r="O122" i="53"/>
  <c r="K28" i="53"/>
  <c r="P28" i="53"/>
  <c r="K137" i="53"/>
  <c r="P137" i="53"/>
  <c r="J26" i="53"/>
  <c r="O26" i="53"/>
  <c r="J138" i="53"/>
  <c r="O138" i="53"/>
  <c r="J38" i="53"/>
  <c r="O38" i="53"/>
  <c r="J34" i="53"/>
  <c r="O34" i="53"/>
  <c r="K31" i="53"/>
  <c r="P31" i="53"/>
  <c r="J102" i="53"/>
  <c r="O102" i="53"/>
  <c r="J54" i="53"/>
  <c r="O54" i="53"/>
  <c r="P71" i="53"/>
  <c r="K71" i="53"/>
  <c r="I141" i="53"/>
  <c r="I12" i="53" s="1"/>
  <c r="J70" i="53"/>
  <c r="O70" i="53"/>
  <c r="K42" i="53"/>
  <c r="P42" i="53"/>
  <c r="O78" i="53"/>
  <c r="J78" i="53"/>
  <c r="P101" i="53"/>
  <c r="K101" i="53"/>
  <c r="J30" i="53"/>
  <c r="O30" i="53"/>
  <c r="J15" i="53"/>
  <c r="O15" i="53"/>
  <c r="J130" i="53"/>
  <c r="O130" i="53"/>
  <c r="J66" i="53"/>
  <c r="O66" i="53"/>
  <c r="J126" i="53"/>
  <c r="O126" i="53"/>
  <c r="Q76" i="53"/>
  <c r="Z141" i="53"/>
  <c r="Z12" i="53" s="1"/>
  <c r="O18" i="53"/>
  <c r="J18" i="53"/>
  <c r="J98" i="53"/>
  <c r="O98" i="53"/>
  <c r="L105" i="53"/>
  <c r="J82" i="53"/>
  <c r="O82" i="53"/>
  <c r="J90" i="53"/>
  <c r="O90" i="53"/>
  <c r="J74" i="53"/>
  <c r="O74" i="53"/>
  <c r="J50" i="53"/>
  <c r="O50" i="53"/>
  <c r="N141" i="53"/>
  <c r="N12" i="53" s="1"/>
  <c r="J86" i="53"/>
  <c r="O86" i="53"/>
  <c r="J94" i="53"/>
  <c r="O94" i="53"/>
  <c r="L72" i="53"/>
  <c r="K81" i="53"/>
  <c r="P81" i="53"/>
  <c r="K241" i="18"/>
  <c r="K270" i="18"/>
  <c r="L240" i="18"/>
  <c r="J269" i="18"/>
  <c r="K239" i="18"/>
  <c r="F59" i="38"/>
  <c r="J241" i="18"/>
  <c r="I262" i="18"/>
  <c r="I255" i="18" s="1"/>
  <c r="J232" i="18"/>
  <c r="J225" i="18" s="1"/>
  <c r="N193" i="31"/>
  <c r="I63" i="18"/>
  <c r="O146" i="31"/>
  <c r="N152" i="31"/>
  <c r="N161" i="31"/>
  <c r="M236" i="31"/>
  <c r="M133" i="31"/>
  <c r="L34" i="31"/>
  <c r="H102" i="49" s="1"/>
  <c r="L32" i="31"/>
  <c r="H100" i="49" s="1"/>
  <c r="L241" i="31"/>
  <c r="L37" i="31" s="1"/>
  <c r="J266" i="24"/>
  <c r="J21" i="24" s="1"/>
  <c r="K157" i="35" s="1"/>
  <c r="L33" i="31"/>
  <c r="H101" i="49" s="1"/>
  <c r="O86" i="31"/>
  <c r="M79" i="29"/>
  <c r="M109" i="29"/>
  <c r="K45" i="31"/>
  <c r="M25" i="31"/>
  <c r="I97" i="49"/>
  <c r="L69" i="18"/>
  <c r="K69" i="18"/>
  <c r="I263" i="18"/>
  <c r="I110" i="49"/>
  <c r="F110" i="49"/>
  <c r="J110" i="49"/>
  <c r="H110" i="49"/>
  <c r="G110" i="49"/>
  <c r="F115" i="49"/>
  <c r="J47" i="31"/>
  <c r="G104" i="49"/>
  <c r="F104" i="49"/>
  <c r="F103" i="49"/>
  <c r="J97" i="49"/>
  <c r="L27" i="31"/>
  <c r="J63" i="18" s="1"/>
  <c r="J150" i="24"/>
  <c r="J15" i="24" s="1"/>
  <c r="I174" i="18" s="1"/>
  <c r="M198" i="31"/>
  <c r="N238" i="31"/>
  <c r="M81" i="31"/>
  <c r="N183" i="31"/>
  <c r="M186" i="31"/>
  <c r="M202" i="31"/>
  <c r="M162" i="31"/>
  <c r="I21" i="24"/>
  <c r="J157" i="35" s="1"/>
  <c r="O71" i="31"/>
  <c r="M103" i="31"/>
  <c r="M182" i="31"/>
  <c r="N153" i="31"/>
  <c r="M88" i="31"/>
  <c r="N201" i="31"/>
  <c r="M131" i="31"/>
  <c r="M166" i="31"/>
  <c r="O157" i="31"/>
  <c r="M132" i="31"/>
  <c r="M72" i="31"/>
  <c r="K35" i="31"/>
  <c r="K46" i="31" s="1"/>
  <c r="O207" i="31"/>
  <c r="N222" i="31"/>
  <c r="O148" i="31"/>
  <c r="O77" i="31"/>
  <c r="M227" i="31"/>
  <c r="M178" i="31"/>
  <c r="N187" i="31"/>
  <c r="N158" i="31"/>
  <c r="O102" i="31"/>
  <c r="O126" i="31"/>
  <c r="N101" i="31"/>
  <c r="O171" i="31"/>
  <c r="N133" i="31"/>
  <c r="N176" i="31"/>
  <c r="N208" i="31"/>
  <c r="N236" i="31"/>
  <c r="M232" i="31"/>
  <c r="N231" i="31"/>
  <c r="M226" i="31"/>
  <c r="N147" i="31"/>
  <c r="N173" i="31"/>
  <c r="O127" i="31"/>
  <c r="O87" i="31"/>
  <c r="N168" i="31"/>
  <c r="O197" i="31"/>
  <c r="M233" i="31"/>
  <c r="O192" i="31"/>
  <c r="M221" i="31"/>
  <c r="M216" i="31"/>
  <c r="M206" i="31"/>
  <c r="M218" i="31"/>
  <c r="F34" i="49"/>
  <c r="L16" i="35"/>
  <c r="P25" i="29" s="1"/>
  <c r="P27" i="29" s="1"/>
  <c r="K73" i="47"/>
  <c r="J111" i="13"/>
  <c r="AB111" i="13" s="1"/>
  <c r="AD79" i="13"/>
  <c r="AK111" i="13"/>
  <c r="G143" i="13"/>
  <c r="H18" i="47"/>
  <c r="H50" i="47" s="1"/>
  <c r="F325" i="13"/>
  <c r="O19" i="31"/>
  <c r="O41" i="31" s="1"/>
  <c r="D139" i="22"/>
  <c r="G72" i="47" s="1"/>
  <c r="I72" i="47" s="1"/>
  <c r="F139" i="22"/>
  <c r="G139" i="22"/>
  <c r="H72" i="47" s="1"/>
  <c r="H131" i="22"/>
  <c r="AF56" i="13"/>
  <c r="AF50" i="13"/>
  <c r="S50" i="13" s="1"/>
  <c r="AF57" i="13"/>
  <c r="H14" i="44"/>
  <c r="Q53" i="29"/>
  <c r="G90" i="22"/>
  <c r="G92" i="22" s="1"/>
  <c r="F92" i="22"/>
  <c r="K47" i="31"/>
  <c r="AF59" i="13"/>
  <c r="AF51" i="13"/>
  <c r="S51" i="13" s="1"/>
  <c r="AF53" i="13"/>
  <c r="S53" i="13" s="1"/>
  <c r="AF48" i="13"/>
  <c r="S48" i="13" s="1"/>
  <c r="AF58" i="13"/>
  <c r="AF65" i="13"/>
  <c r="AF49" i="13"/>
  <c r="S49" i="13" s="1"/>
  <c r="AF98" i="13"/>
  <c r="AF96" i="13"/>
  <c r="AF64" i="13"/>
  <c r="AF85" i="13"/>
  <c r="AJ148" i="13"/>
  <c r="AD120" i="13"/>
  <c r="AE120" i="13"/>
  <c r="AJ152" i="13"/>
  <c r="AJ129" i="13"/>
  <c r="AF80" i="13"/>
  <c r="AF66" i="13"/>
  <c r="AF54" i="13"/>
  <c r="S54" i="13" s="1"/>
  <c r="AF52" i="13"/>
  <c r="AF61" i="13"/>
  <c r="AD90" i="13"/>
  <c r="AE90" i="13"/>
  <c r="AE127" i="13"/>
  <c r="AD127" i="13"/>
  <c r="AD94" i="13"/>
  <c r="AE94" i="13"/>
  <c r="AD123" i="13"/>
  <c r="AE123" i="13"/>
  <c r="AF62" i="13"/>
  <c r="AF60" i="13"/>
  <c r="AF55" i="13"/>
  <c r="S55" i="13" s="1"/>
  <c r="AE88" i="13"/>
  <c r="AD88" i="13"/>
  <c r="AD113" i="13"/>
  <c r="AE113" i="13"/>
  <c r="AJ125" i="13"/>
  <c r="AD89" i="13"/>
  <c r="AE89" i="13"/>
  <c r="AD97" i="13"/>
  <c r="AE97" i="13"/>
  <c r="AJ158" i="13"/>
  <c r="AJ150" i="13"/>
  <c r="AJ144" i="13"/>
  <c r="T114" i="13"/>
  <c r="AJ114" i="13"/>
  <c r="T115" i="13"/>
  <c r="AJ115" i="13"/>
  <c r="AE84" i="13"/>
  <c r="AD84" i="13"/>
  <c r="AD128" i="13"/>
  <c r="AE128" i="13"/>
  <c r="AF92" i="13"/>
  <c r="AJ121" i="13"/>
  <c r="AJ145" i="13"/>
  <c r="AJ156" i="13"/>
  <c r="AJ116" i="13"/>
  <c r="AD81" i="13"/>
  <c r="AE81" i="13"/>
  <c r="AJ160" i="13"/>
  <c r="AJ155" i="13"/>
  <c r="I188" i="13"/>
  <c r="AJ122" i="13"/>
  <c r="AJ151" i="13"/>
  <c r="AJ159" i="13"/>
  <c r="AJ149" i="13"/>
  <c r="AJ162" i="13"/>
  <c r="AF87" i="13"/>
  <c r="AD91" i="13"/>
  <c r="AE91" i="13"/>
  <c r="AE117" i="13"/>
  <c r="AD117" i="13"/>
  <c r="AD124" i="13"/>
  <c r="AE124" i="13"/>
  <c r="AJ118" i="13"/>
  <c r="AD112" i="13"/>
  <c r="AE112" i="13"/>
  <c r="AD126" i="13"/>
  <c r="AE126" i="13"/>
  <c r="AF63" i="13"/>
  <c r="AD95" i="13"/>
  <c r="AE95" i="13"/>
  <c r="AD130" i="13"/>
  <c r="AE130" i="13"/>
  <c r="AD83" i="13"/>
  <c r="AE83" i="13"/>
  <c r="AE93" i="13"/>
  <c r="AD93" i="13"/>
  <c r="M63" i="29"/>
  <c r="M97" i="29"/>
  <c r="M95" i="29"/>
  <c r="M113" i="29"/>
  <c r="M87" i="29"/>
  <c r="K158" i="29"/>
  <c r="K54" i="29" s="1"/>
  <c r="L80" i="29"/>
  <c r="Z80" i="29" s="1"/>
  <c r="M114" i="29"/>
  <c r="M71" i="29"/>
  <c r="L140" i="29"/>
  <c r="Z140" i="29" s="1"/>
  <c r="M59" i="29"/>
  <c r="S59" i="29"/>
  <c r="L107" i="29"/>
  <c r="Z107" i="29" s="1"/>
  <c r="Z64" i="29"/>
  <c r="L76" i="29"/>
  <c r="Z76" i="29" s="1"/>
  <c r="L132" i="29"/>
  <c r="Z132" i="29" s="1"/>
  <c r="L136" i="29"/>
  <c r="Z136" i="29" s="1"/>
  <c r="L102" i="29"/>
  <c r="Z102" i="29" s="1"/>
  <c r="M106" i="29"/>
  <c r="L128" i="29"/>
  <c r="Z128" i="29" s="1"/>
  <c r="M69" i="29"/>
  <c r="L144" i="29"/>
  <c r="Z144" i="29" s="1"/>
  <c r="L148" i="29"/>
  <c r="Z148" i="29" s="1"/>
  <c r="L115" i="29"/>
  <c r="Z115" i="29" s="1"/>
  <c r="L70" i="29"/>
  <c r="Z70" i="29" s="1"/>
  <c r="L84" i="29"/>
  <c r="Z84" i="29" s="1"/>
  <c r="L120" i="29"/>
  <c r="Z120" i="29" s="1"/>
  <c r="P11" i="29"/>
  <c r="M91" i="29"/>
  <c r="M77" i="29"/>
  <c r="Z60" i="29"/>
  <c r="M81" i="29"/>
  <c r="M90" i="29"/>
  <c r="M67" i="29"/>
  <c r="L155" i="29"/>
  <c r="Z155" i="29" s="1"/>
  <c r="L98" i="29"/>
  <c r="Z98" i="29" s="1"/>
  <c r="L124" i="29"/>
  <c r="Z124" i="29" s="1"/>
  <c r="M61" i="29"/>
  <c r="L110" i="29"/>
  <c r="Z110" i="29" s="1"/>
  <c r="M94" i="29"/>
  <c r="L68" i="29"/>
  <c r="Z68" i="29" s="1"/>
  <c r="M65" i="29"/>
  <c r="R12" i="36"/>
  <c r="K15" i="22"/>
  <c r="R133" i="53"/>
  <c r="R88" i="53"/>
  <c r="R40" i="53"/>
  <c r="R25" i="53"/>
  <c r="R49" i="53"/>
  <c r="R65" i="53"/>
  <c r="R77" i="53"/>
  <c r="R104" i="53"/>
  <c r="R84" i="53"/>
  <c r="R52" i="53"/>
  <c r="R73" i="53"/>
  <c r="R17" i="53"/>
  <c r="R61" i="53"/>
  <c r="R32" i="53"/>
  <c r="R33" i="53"/>
  <c r="R45" i="53"/>
  <c r="Q158" i="29"/>
  <c r="Q54" i="29" s="1"/>
  <c r="H324" i="13"/>
  <c r="I39" i="39"/>
  <c r="O143" i="13"/>
  <c r="P67" i="13"/>
  <c r="I143" i="13"/>
  <c r="AJ111" i="13"/>
  <c r="O131" i="13"/>
  <c r="AH111" i="13"/>
  <c r="P111" i="13"/>
  <c r="P79" i="13"/>
  <c r="AH79" i="13"/>
  <c r="O99" i="13"/>
  <c r="I194" i="13"/>
  <c r="E179" i="13"/>
  <c r="K183" i="13"/>
  <c r="I161" i="13"/>
  <c r="AF15" i="13"/>
  <c r="N41" i="31"/>
  <c r="G248" i="13"/>
  <c r="I146" i="13"/>
  <c r="E146" i="13"/>
  <c r="I181" i="13"/>
  <c r="G194" i="13"/>
  <c r="I191" i="13"/>
  <c r="G221" i="13"/>
  <c r="I147" i="13"/>
  <c r="J147" i="13" s="1"/>
  <c r="AB147" i="13" s="1"/>
  <c r="G179" i="13"/>
  <c r="AK179" i="13" s="1"/>
  <c r="AL179" i="13" s="1"/>
  <c r="K190" i="13"/>
  <c r="E180" i="13"/>
  <c r="J180" i="13" s="1"/>
  <c r="R35" i="13"/>
  <c r="N224" i="35"/>
  <c r="R106" i="53"/>
  <c r="L124" i="53"/>
  <c r="Q124" i="53"/>
  <c r="L80" i="53"/>
  <c r="Q80" i="53"/>
  <c r="K103" i="53"/>
  <c r="P103" i="53"/>
  <c r="L104" i="43"/>
  <c r="L124" i="43"/>
  <c r="K95" i="53"/>
  <c r="P95" i="53"/>
  <c r="L131" i="43"/>
  <c r="N228" i="31"/>
  <c r="R64" i="53"/>
  <c r="K130" i="43"/>
  <c r="G251" i="13"/>
  <c r="M89" i="29"/>
  <c r="O206" i="35"/>
  <c r="K139" i="43"/>
  <c r="L138" i="43"/>
  <c r="K56" i="43"/>
  <c r="R68" i="53"/>
  <c r="L110" i="53"/>
  <c r="Q110" i="53"/>
  <c r="I40" i="43"/>
  <c r="M72" i="29"/>
  <c r="Q117" i="53"/>
  <c r="L117" i="53"/>
  <c r="AI15" i="53"/>
  <c r="AH141" i="53"/>
  <c r="AH12" i="53" s="1"/>
  <c r="K100" i="43"/>
  <c r="K80" i="43"/>
  <c r="I176" i="13"/>
  <c r="L114" i="43"/>
  <c r="R128" i="53"/>
  <c r="I183" i="13"/>
  <c r="K125" i="53"/>
  <c r="P125" i="53"/>
  <c r="K60" i="43"/>
  <c r="K132" i="43"/>
  <c r="K37" i="53"/>
  <c r="P37" i="53"/>
  <c r="N217" i="31"/>
  <c r="I154" i="13"/>
  <c r="L21" i="53"/>
  <c r="Q21" i="53"/>
  <c r="L93" i="29"/>
  <c r="Z93" i="29" s="1"/>
  <c r="L134" i="43"/>
  <c r="K110" i="43"/>
  <c r="L44" i="43"/>
  <c r="K116" i="43"/>
  <c r="K135" i="43"/>
  <c r="L112" i="43"/>
  <c r="K92" i="43"/>
  <c r="AI15" i="43"/>
  <c r="AH141" i="43"/>
  <c r="AH12" i="43" s="1"/>
  <c r="Q60" i="53"/>
  <c r="L60" i="53"/>
  <c r="K96" i="43"/>
  <c r="N237" i="31"/>
  <c r="R93" i="53"/>
  <c r="I182" i="13"/>
  <c r="I180" i="13"/>
  <c r="AB180" i="13" s="1"/>
  <c r="L156" i="29"/>
  <c r="Z156" i="29" s="1"/>
  <c r="K48" i="43"/>
  <c r="P69" i="53"/>
  <c r="K69" i="53"/>
  <c r="N223" i="31"/>
  <c r="I184" i="13"/>
  <c r="L20" i="53"/>
  <c r="Q20" i="53"/>
  <c r="U15" i="53"/>
  <c r="T141" i="53"/>
  <c r="T12" i="53" s="1"/>
  <c r="R116" i="53"/>
  <c r="L44" i="53"/>
  <c r="Q44" i="53"/>
  <c r="L121" i="53"/>
  <c r="Q121" i="53"/>
  <c r="Q12" i="36"/>
  <c r="I34" i="37"/>
  <c r="H19" i="40" s="1"/>
  <c r="AD18" i="36"/>
  <c r="AD56" i="36"/>
  <c r="AD14" i="36"/>
  <c r="AD38" i="36"/>
  <c r="AD63" i="36"/>
  <c r="AD39" i="36"/>
  <c r="AD15" i="36"/>
  <c r="AD58" i="36"/>
  <c r="AD44" i="36"/>
  <c r="AD30" i="36"/>
  <c r="AD16" i="36"/>
  <c r="AD66" i="36"/>
  <c r="AD52" i="36"/>
  <c r="AD49" i="36"/>
  <c r="AD50" i="36"/>
  <c r="AD25" i="36"/>
  <c r="AD33" i="36"/>
  <c r="AD19" i="36"/>
  <c r="AD62" i="36"/>
  <c r="AD48" i="36"/>
  <c r="AD34" i="36"/>
  <c r="AD70" i="36"/>
  <c r="AD42" i="36"/>
  <c r="AD53" i="36"/>
  <c r="AD20" i="36"/>
  <c r="AD64" i="36"/>
  <c r="AD36" i="36"/>
  <c r="AD28" i="36"/>
  <c r="AD60" i="36"/>
  <c r="AD61" i="36"/>
  <c r="AD46" i="36"/>
  <c r="AD17" i="36"/>
  <c r="AD57" i="36"/>
  <c r="AD67" i="36"/>
  <c r="AD68" i="36"/>
  <c r="AD65" i="36"/>
  <c r="AD51" i="36"/>
  <c r="AD37" i="36"/>
  <c r="AD23" i="36"/>
  <c r="AD59" i="36"/>
  <c r="AD45" i="36"/>
  <c r="AD21" i="36"/>
  <c r="AD22" i="36"/>
  <c r="AD40" i="36"/>
  <c r="AD26" i="36"/>
  <c r="AD69" i="36"/>
  <c r="AD55" i="36"/>
  <c r="AD41" i="36"/>
  <c r="AD27" i="36"/>
  <c r="AD29" i="36"/>
  <c r="AD24" i="36"/>
  <c r="AD54" i="36"/>
  <c r="AD47" i="36"/>
  <c r="AD35" i="36"/>
  <c r="AD43" i="36"/>
  <c r="AD31" i="36"/>
  <c r="AD32" i="36"/>
  <c r="T12" i="36"/>
  <c r="AA12" i="36"/>
  <c r="F22" i="37"/>
  <c r="F25" i="37" s="1"/>
  <c r="AG8" i="36"/>
  <c r="W18" i="36"/>
  <c r="W20" i="36"/>
  <c r="W22" i="36"/>
  <c r="W24" i="36"/>
  <c r="W26" i="36"/>
  <c r="W28" i="36"/>
  <c r="W30" i="36"/>
  <c r="W32" i="36"/>
  <c r="W34" i="36"/>
  <c r="W36" i="36"/>
  <c r="W38" i="36"/>
  <c r="W40" i="36"/>
  <c r="W42" i="36"/>
  <c r="W44" i="36"/>
  <c r="W46" i="36"/>
  <c r="W48" i="36"/>
  <c r="W50" i="36"/>
  <c r="W52" i="36"/>
  <c r="W54" i="36"/>
  <c r="W56" i="36"/>
  <c r="W58" i="36"/>
  <c r="W60" i="36"/>
  <c r="W62" i="36"/>
  <c r="W64" i="36"/>
  <c r="W66" i="36"/>
  <c r="W68" i="36"/>
  <c r="W70" i="36"/>
  <c r="L8" i="37"/>
  <c r="W16" i="36"/>
  <c r="W17" i="36"/>
  <c r="W19" i="36"/>
  <c r="W21" i="36"/>
  <c r="W23" i="36"/>
  <c r="W25" i="36"/>
  <c r="W27" i="36"/>
  <c r="W29" i="36"/>
  <c r="W31" i="36"/>
  <c r="W33" i="36"/>
  <c r="W35" i="36"/>
  <c r="W37" i="36"/>
  <c r="W39" i="36"/>
  <c r="W41" i="36"/>
  <c r="W43" i="36"/>
  <c r="W45" i="36"/>
  <c r="W47" i="36"/>
  <c r="W49" i="36"/>
  <c r="W51" i="36"/>
  <c r="W53" i="36"/>
  <c r="W55" i="36"/>
  <c r="W57" i="36"/>
  <c r="W59" i="36"/>
  <c r="W61" i="36"/>
  <c r="W63" i="36"/>
  <c r="W65" i="36"/>
  <c r="W67" i="36"/>
  <c r="W69" i="36"/>
  <c r="W14" i="36"/>
  <c r="U41" i="36"/>
  <c r="X8" i="36"/>
  <c r="U59" i="36"/>
  <c r="U65" i="36"/>
  <c r="U70" i="36"/>
  <c r="U64" i="36"/>
  <c r="U27" i="36"/>
  <c r="U50" i="36"/>
  <c r="U34" i="36"/>
  <c r="U54" i="36"/>
  <c r="U56" i="36"/>
  <c r="U35" i="36"/>
  <c r="U32" i="36"/>
  <c r="U57" i="36"/>
  <c r="U31" i="36"/>
  <c r="U29" i="36"/>
  <c r="U30" i="36"/>
  <c r="U69" i="36"/>
  <c r="U22" i="36"/>
  <c r="U23" i="36"/>
  <c r="U43" i="36"/>
  <c r="U42" i="36"/>
  <c r="U28" i="36"/>
  <c r="U19" i="36"/>
  <c r="U62" i="36"/>
  <c r="U67" i="36"/>
  <c r="U66" i="36"/>
  <c r="U25" i="36"/>
  <c r="U24" i="36"/>
  <c r="U26" i="36"/>
  <c r="U16" i="36"/>
  <c r="U45" i="36"/>
  <c r="U52" i="36"/>
  <c r="U51" i="36"/>
  <c r="U55" i="36"/>
  <c r="U18" i="36"/>
  <c r="U44" i="36"/>
  <c r="U49" i="36"/>
  <c r="U63" i="36"/>
  <c r="U17" i="36"/>
  <c r="U60" i="36"/>
  <c r="U37" i="36"/>
  <c r="U20" i="36"/>
  <c r="U21" i="36"/>
  <c r="U48" i="36"/>
  <c r="U38" i="36"/>
  <c r="U39" i="36"/>
  <c r="U58" i="36"/>
  <c r="AE8" i="36"/>
  <c r="J8" i="37"/>
  <c r="U33" i="36"/>
  <c r="U53" i="36"/>
  <c r="U36" i="36"/>
  <c r="U46" i="36"/>
  <c r="U47" i="36"/>
  <c r="U40" i="36"/>
  <c r="U61" i="36"/>
  <c r="U68" i="36"/>
  <c r="U15" i="36"/>
  <c r="U14" i="36"/>
  <c r="AB58" i="36"/>
  <c r="AB30" i="36"/>
  <c r="AB69" i="36"/>
  <c r="AB52" i="36"/>
  <c r="AB57" i="36"/>
  <c r="AB39" i="36"/>
  <c r="AB32" i="36"/>
  <c r="AB60" i="36"/>
  <c r="AB55" i="36"/>
  <c r="AB70" i="36"/>
  <c r="AB36" i="36"/>
  <c r="AB14" i="36"/>
  <c r="AB49" i="36"/>
  <c r="AB26" i="36"/>
  <c r="AB24" i="36"/>
  <c r="AB64" i="36"/>
  <c r="AB25" i="36"/>
  <c r="AB35" i="36"/>
  <c r="AB53" i="36"/>
  <c r="AB66" i="36"/>
  <c r="AB37" i="36"/>
  <c r="AB62" i="36"/>
  <c r="AB38" i="36"/>
  <c r="AB20" i="36"/>
  <c r="AB63" i="36"/>
  <c r="AB15" i="36"/>
  <c r="AB43" i="36"/>
  <c r="AB41" i="36"/>
  <c r="AB29" i="36"/>
  <c r="AB65" i="36"/>
  <c r="AB22" i="36"/>
  <c r="AB67" i="36"/>
  <c r="AB50" i="36"/>
  <c r="AB21" i="36"/>
  <c r="AB44" i="36"/>
  <c r="AB42" i="36"/>
  <c r="AB16" i="36"/>
  <c r="AB59" i="36"/>
  <c r="AB31" i="36"/>
  <c r="AB54" i="36"/>
  <c r="AB68" i="36"/>
  <c r="AB18" i="36"/>
  <c r="AB28" i="36"/>
  <c r="AB46" i="36"/>
  <c r="AB48" i="36"/>
  <c r="AB19" i="36"/>
  <c r="AB34" i="36"/>
  <c r="AB45" i="36"/>
  <c r="AB27" i="36"/>
  <c r="AB17" i="36"/>
  <c r="AB56" i="36"/>
  <c r="AB33" i="36"/>
  <c r="AB61" i="36"/>
  <c r="AB40" i="36"/>
  <c r="AB51" i="36"/>
  <c r="AB23" i="36"/>
  <c r="AB47" i="36"/>
  <c r="I34" i="38"/>
  <c r="H78" i="38" s="1"/>
  <c r="H80" i="38" s="1"/>
  <c r="G20" i="49"/>
  <c r="G78" i="38"/>
  <c r="G80" i="38" s="1"/>
  <c r="H36" i="38"/>
  <c r="K77" i="38"/>
  <c r="J14" i="49"/>
  <c r="F25" i="40"/>
  <c r="F26" i="40" s="1"/>
  <c r="K43" i="39"/>
  <c r="J45" i="39"/>
  <c r="G44" i="40" s="1"/>
  <c r="K14" i="39"/>
  <c r="G37" i="40"/>
  <c r="K19" i="39"/>
  <c r="H22" i="40" s="1"/>
  <c r="K20" i="39"/>
  <c r="H23" i="40" s="1"/>
  <c r="K47" i="39"/>
  <c r="J54" i="39"/>
  <c r="K16" i="39"/>
  <c r="G38" i="40"/>
  <c r="K21" i="39"/>
  <c r="G31" i="37"/>
  <c r="F34" i="37"/>
  <c r="H39" i="37"/>
  <c r="J183" i="35"/>
  <c r="H205" i="18"/>
  <c r="H247" i="18" s="1"/>
  <c r="K19" i="48"/>
  <c r="K214" i="48" s="1"/>
  <c r="H277" i="18"/>
  <c r="N85" i="35"/>
  <c r="M91" i="35"/>
  <c r="L224" i="35"/>
  <c r="L206" i="35"/>
  <c r="L226" i="35"/>
  <c r="L81" i="35"/>
  <c r="L208" i="35"/>
  <c r="J213" i="35"/>
  <c r="J231" i="35"/>
  <c r="F67" i="38" s="1"/>
  <c r="F23" i="38"/>
  <c r="L134" i="35"/>
  <c r="K231" i="35" s="1"/>
  <c r="G67" i="38" s="1"/>
  <c r="G30" i="49"/>
  <c r="G33" i="49" s="1"/>
  <c r="G115" i="49" s="1"/>
  <c r="K209" i="35"/>
  <c r="K94" i="35"/>
  <c r="J227" i="35" s="1"/>
  <c r="K226" i="35"/>
  <c r="K213" i="35"/>
  <c r="G23" i="38"/>
  <c r="N129" i="35"/>
  <c r="M131" i="35"/>
  <c r="H31" i="49" s="1"/>
  <c r="O22" i="35"/>
  <c r="O26" i="35" s="1"/>
  <c r="N26" i="35"/>
  <c r="M124" i="35"/>
  <c r="K224" i="35"/>
  <c r="G249" i="13"/>
  <c r="E271" i="13"/>
  <c r="K251" i="13"/>
  <c r="K283" i="13" s="1"/>
  <c r="G218" i="13"/>
  <c r="G177" i="13"/>
  <c r="AK177" i="13" s="1"/>
  <c r="AL177" i="13" s="1"/>
  <c r="E153" i="13"/>
  <c r="G193" i="13"/>
  <c r="G192" i="13"/>
  <c r="G178" i="13"/>
  <c r="AK178" i="13" s="1"/>
  <c r="AL178" i="13" s="1"/>
  <c r="E193" i="13"/>
  <c r="G188" i="13"/>
  <c r="K176" i="13"/>
  <c r="M91" i="18"/>
  <c r="M96" i="18" s="1"/>
  <c r="L96" i="18"/>
  <c r="L239" i="18" s="1"/>
  <c r="I124" i="18"/>
  <c r="G15" i="38"/>
  <c r="H264" i="18"/>
  <c r="H257" i="18" s="1"/>
  <c r="J99" i="18"/>
  <c r="F61" i="38"/>
  <c r="J112" i="18"/>
  <c r="J234" i="18" s="1"/>
  <c r="J227" i="18" s="1"/>
  <c r="K107" i="18"/>
  <c r="K233" i="18" s="1"/>
  <c r="J271" i="18"/>
  <c r="L121" i="18"/>
  <c r="L241" i="18" s="1"/>
  <c r="M116" i="18"/>
  <c r="M240" i="18" s="1"/>
  <c r="L84" i="18"/>
  <c r="K87" i="18"/>
  <c r="K232" i="18" s="1"/>
  <c r="K225" i="18" s="1"/>
  <c r="T35" i="13"/>
  <c r="I153" i="13"/>
  <c r="E186" i="13"/>
  <c r="E159" i="13"/>
  <c r="E155" i="13"/>
  <c r="E152" i="13"/>
  <c r="E156" i="13"/>
  <c r="E181" i="13"/>
  <c r="E176" i="13"/>
  <c r="J176" i="13" s="1"/>
  <c r="AB176" i="13" s="1"/>
  <c r="G158" i="13"/>
  <c r="I190" i="13"/>
  <c r="E145" i="13"/>
  <c r="J145" i="13" s="1"/>
  <c r="AB145" i="13" s="1"/>
  <c r="E151" i="13"/>
  <c r="J151" i="13" s="1"/>
  <c r="I192" i="13"/>
  <c r="E182" i="13"/>
  <c r="K161" i="13"/>
  <c r="K163" i="13" s="1"/>
  <c r="I187" i="13"/>
  <c r="I177" i="13"/>
  <c r="E190" i="13"/>
  <c r="E160" i="13"/>
  <c r="I157" i="13"/>
  <c r="E189" i="13"/>
  <c r="K43" i="31"/>
  <c r="M58" i="29"/>
  <c r="S57" i="29"/>
  <c r="M57" i="29"/>
  <c r="O24" i="31"/>
  <c r="N24" i="31"/>
  <c r="J98" i="49"/>
  <c r="M26" i="31"/>
  <c r="M27" i="31" s="1"/>
  <c r="J24" i="1"/>
  <c r="J28" i="18"/>
  <c r="I33" i="18"/>
  <c r="H59" i="18" s="1"/>
  <c r="I39" i="1"/>
  <c r="J15" i="18"/>
  <c r="I40" i="1"/>
  <c r="H138" i="22"/>
  <c r="H139" i="22"/>
  <c r="K175" i="13"/>
  <c r="K24" i="22"/>
  <c r="O114" i="31"/>
  <c r="J41" i="37"/>
  <c r="AF47" i="13" l="1"/>
  <c r="S47" i="13" s="1"/>
  <c r="J32" i="1"/>
  <c r="J33" i="1"/>
  <c r="H265" i="18"/>
  <c r="M78" i="24"/>
  <c r="M194" i="24"/>
  <c r="L188" i="24"/>
  <c r="L72" i="24"/>
  <c r="M69" i="24"/>
  <c r="M185" i="24"/>
  <c r="M180" i="24"/>
  <c r="M64" i="24"/>
  <c r="L60" i="24"/>
  <c r="L176" i="24"/>
  <c r="M61" i="24"/>
  <c r="M177" i="24"/>
  <c r="L58" i="24"/>
  <c r="L174" i="24"/>
  <c r="N173" i="24"/>
  <c r="N57" i="24"/>
  <c r="N54" i="24"/>
  <c r="N170" i="24"/>
  <c r="N55" i="24"/>
  <c r="N171" i="24"/>
  <c r="M205" i="24"/>
  <c r="M89" i="24"/>
  <c r="M204" i="24"/>
  <c r="M88" i="24"/>
  <c r="L199" i="24"/>
  <c r="L83" i="24"/>
  <c r="N81" i="24"/>
  <c r="N197" i="24"/>
  <c r="M77" i="24"/>
  <c r="M193" i="24"/>
  <c r="M192" i="24"/>
  <c r="M76" i="24"/>
  <c r="M190" i="24"/>
  <c r="M74" i="24"/>
  <c r="L73" i="24"/>
  <c r="L189" i="24"/>
  <c r="N184" i="24"/>
  <c r="N68" i="24"/>
  <c r="M65" i="24"/>
  <c r="M181" i="24"/>
  <c r="M178" i="24"/>
  <c r="M62" i="24"/>
  <c r="N172" i="24"/>
  <c r="N56" i="24"/>
  <c r="L169" i="24"/>
  <c r="L53" i="24"/>
  <c r="M166" i="24"/>
  <c r="M50" i="24"/>
  <c r="O76" i="31"/>
  <c r="N163" i="24"/>
  <c r="N47" i="24"/>
  <c r="J16" i="24"/>
  <c r="J17" i="24" s="1"/>
  <c r="J18" i="24" s="1"/>
  <c r="R47" i="13"/>
  <c r="R67" i="13" s="1"/>
  <c r="J39" i="39"/>
  <c r="AD86" i="13"/>
  <c r="AE86" i="13"/>
  <c r="R86" i="13" s="1"/>
  <c r="AD82" i="13"/>
  <c r="AE82" i="13"/>
  <c r="R82" i="13" s="1"/>
  <c r="AD119" i="13"/>
  <c r="AE119" i="13"/>
  <c r="R119" i="13" s="1"/>
  <c r="J72" i="47"/>
  <c r="J74" i="47" s="1"/>
  <c r="J87" i="47" s="1"/>
  <c r="I41" i="22"/>
  <c r="L164" i="48"/>
  <c r="L81" i="48"/>
  <c r="L61" i="48"/>
  <c r="L184" i="48"/>
  <c r="L101" i="48"/>
  <c r="L21" i="48"/>
  <c r="L144" i="48"/>
  <c r="L204" i="48"/>
  <c r="L216" i="48" s="1"/>
  <c r="L124" i="48"/>
  <c r="L41" i="48"/>
  <c r="J195" i="18"/>
  <c r="K33" i="22"/>
  <c r="K35" i="22" s="1"/>
  <c r="J35" i="22"/>
  <c r="M143" i="35"/>
  <c r="M153" i="35" s="1"/>
  <c r="J150" i="13"/>
  <c r="AB150" i="13" s="1"/>
  <c r="T150" i="13" s="1"/>
  <c r="P33" i="29"/>
  <c r="L141" i="35"/>
  <c r="L143" i="35" s="1"/>
  <c r="L153" i="35" s="1"/>
  <c r="AB151" i="13"/>
  <c r="T151" i="13" s="1"/>
  <c r="P18" i="29"/>
  <c r="J145" i="18"/>
  <c r="J147" i="18" s="1"/>
  <c r="J161" i="18" s="1"/>
  <c r="J235" i="18" s="1"/>
  <c r="R81" i="13"/>
  <c r="AH115" i="13"/>
  <c r="P115" i="13"/>
  <c r="AK149" i="13"/>
  <c r="AL149" i="13" s="1"/>
  <c r="G181" i="13"/>
  <c r="O176" i="13"/>
  <c r="J146" i="13"/>
  <c r="U54" i="13"/>
  <c r="U53" i="13"/>
  <c r="S148" i="13"/>
  <c r="R148" i="13"/>
  <c r="U148" i="13"/>
  <c r="O148" i="13"/>
  <c r="T148" i="13"/>
  <c r="K180" i="13"/>
  <c r="R112" i="13"/>
  <c r="AH151" i="13"/>
  <c r="P151" i="13"/>
  <c r="P114" i="13"/>
  <c r="AH114" i="13"/>
  <c r="O146" i="13"/>
  <c r="K178" i="13"/>
  <c r="AK150" i="13"/>
  <c r="AL150" i="13" s="1"/>
  <c r="G182" i="13"/>
  <c r="U48" i="13"/>
  <c r="K177" i="13"/>
  <c r="T145" i="13"/>
  <c r="O145" i="13"/>
  <c r="P144" i="13"/>
  <c r="AH144" i="13"/>
  <c r="O147" i="13"/>
  <c r="K179" i="13"/>
  <c r="K214" i="13"/>
  <c r="O182" i="13"/>
  <c r="S67" i="13"/>
  <c r="G325" i="13" s="1"/>
  <c r="S87" i="13"/>
  <c r="R87" i="13"/>
  <c r="AK148" i="13"/>
  <c r="AL148" i="13" s="1"/>
  <c r="G180" i="13"/>
  <c r="AK151" i="13"/>
  <c r="AL151" i="13" s="1"/>
  <c r="G183" i="13"/>
  <c r="AK144" i="13"/>
  <c r="AL144" i="13" s="1"/>
  <c r="G176" i="13"/>
  <c r="S85" i="13"/>
  <c r="R85" i="13"/>
  <c r="P116" i="13"/>
  <c r="AH116" i="13"/>
  <c r="H105" i="49"/>
  <c r="I122" i="49"/>
  <c r="J181" i="13"/>
  <c r="AB181" i="13" s="1"/>
  <c r="O183" i="13"/>
  <c r="U51" i="13"/>
  <c r="U55" i="13"/>
  <c r="U49" i="13"/>
  <c r="AH117" i="13"/>
  <c r="P117" i="13"/>
  <c r="K181" i="13"/>
  <c r="T149" i="13"/>
  <c r="O149" i="13"/>
  <c r="U50" i="13"/>
  <c r="AH113" i="13"/>
  <c r="P113" i="13"/>
  <c r="R83" i="13"/>
  <c r="P150" i="13"/>
  <c r="AH150" i="13"/>
  <c r="R80" i="13"/>
  <c r="S80" i="13"/>
  <c r="M116" i="29"/>
  <c r="Z116" i="29"/>
  <c r="S116" i="29"/>
  <c r="Z100" i="29"/>
  <c r="M100" i="29"/>
  <c r="S100" i="29"/>
  <c r="Q33" i="29"/>
  <c r="X158" i="29"/>
  <c r="X54" i="29" s="1"/>
  <c r="Y52" i="29"/>
  <c r="R26" i="29" s="1"/>
  <c r="N141" i="35" s="1"/>
  <c r="S110" i="29"/>
  <c r="S155" i="29"/>
  <c r="S60" i="29"/>
  <c r="S120" i="29"/>
  <c r="S148" i="29"/>
  <c r="S76" i="29"/>
  <c r="S80" i="29"/>
  <c r="S123" i="29"/>
  <c r="S143" i="29"/>
  <c r="S135" i="29"/>
  <c r="S139" i="29"/>
  <c r="S151" i="29"/>
  <c r="S84" i="29"/>
  <c r="S144" i="29"/>
  <c r="S102" i="29"/>
  <c r="S64" i="29"/>
  <c r="S140" i="29"/>
  <c r="S111" i="29"/>
  <c r="M111" i="29"/>
  <c r="S99" i="29"/>
  <c r="M99" i="29"/>
  <c r="S156" i="29"/>
  <c r="L52" i="29"/>
  <c r="S93" i="29"/>
  <c r="S68" i="29"/>
  <c r="S124" i="29"/>
  <c r="S70" i="29"/>
  <c r="S136" i="29"/>
  <c r="S107" i="29"/>
  <c r="S119" i="29"/>
  <c r="S131" i="29"/>
  <c r="S98" i="29"/>
  <c r="S115" i="29"/>
  <c r="S128" i="29"/>
  <c r="S132" i="29"/>
  <c r="S127" i="29"/>
  <c r="S147" i="29"/>
  <c r="S73" i="29"/>
  <c r="M73" i="29"/>
  <c r="J20" i="18"/>
  <c r="L17" i="35"/>
  <c r="P28" i="29" s="1"/>
  <c r="I99" i="49"/>
  <c r="M15" i="35"/>
  <c r="Q35" i="29" s="1"/>
  <c r="O25" i="29"/>
  <c r="L47" i="31"/>
  <c r="Q8" i="29"/>
  <c r="X50" i="29"/>
  <c r="L35" i="31"/>
  <c r="M161" i="24"/>
  <c r="M45" i="24"/>
  <c r="N44" i="24"/>
  <c r="N160" i="24"/>
  <c r="J8" i="38"/>
  <c r="AK10" i="43"/>
  <c r="R50" i="29"/>
  <c r="AI10" i="53"/>
  <c r="Q10" i="53"/>
  <c r="W10" i="53" s="1"/>
  <c r="J4" i="22"/>
  <c r="AE10" i="43"/>
  <c r="N8" i="35"/>
  <c r="N104" i="35" s="1"/>
  <c r="M155" i="24"/>
  <c r="K10" i="43"/>
  <c r="K103" i="18"/>
  <c r="L143" i="18"/>
  <c r="L172" i="18" s="1"/>
  <c r="J8" i="40"/>
  <c r="L222" i="18"/>
  <c r="K25" i="44"/>
  <c r="K39" i="18"/>
  <c r="K9" i="44"/>
  <c r="AC10" i="53"/>
  <c r="L50" i="29"/>
  <c r="I7" i="49"/>
  <c r="I91" i="49" s="1"/>
  <c r="M8" i="39"/>
  <c r="M61" i="39" s="1"/>
  <c r="L8" i="18"/>
  <c r="L26" i="18" s="1"/>
  <c r="K134" i="18"/>
  <c r="K26" i="18"/>
  <c r="F22" i="38"/>
  <c r="AE79" i="13"/>
  <c r="R79" i="13" s="1"/>
  <c r="G34" i="37"/>
  <c r="F19" i="40" s="1"/>
  <c r="K110" i="35"/>
  <c r="H31" i="37"/>
  <c r="S12" i="36"/>
  <c r="L20" i="24"/>
  <c r="K31" i="24"/>
  <c r="V15" i="36"/>
  <c r="V24" i="36"/>
  <c r="V40" i="36"/>
  <c r="V56" i="36"/>
  <c r="AF8" i="36"/>
  <c r="V31" i="36"/>
  <c r="V47" i="36"/>
  <c r="V63" i="36"/>
  <c r="V38" i="36"/>
  <c r="V70" i="36"/>
  <c r="V45" i="36"/>
  <c r="V16" i="36"/>
  <c r="V42" i="36"/>
  <c r="V17" i="36"/>
  <c r="V49" i="36"/>
  <c r="V32" i="36"/>
  <c r="V64" i="36"/>
  <c r="V55" i="36"/>
  <c r="V61" i="36"/>
  <c r="V33" i="36"/>
  <c r="Y8" i="36"/>
  <c r="V28" i="36"/>
  <c r="V44" i="36"/>
  <c r="V60" i="36"/>
  <c r="V19" i="36"/>
  <c r="V35" i="36"/>
  <c r="V51" i="36"/>
  <c r="V67" i="36"/>
  <c r="V46" i="36"/>
  <c r="V21" i="36"/>
  <c r="V53" i="36"/>
  <c r="V18" i="36"/>
  <c r="V50" i="36"/>
  <c r="V25" i="36"/>
  <c r="V57" i="36"/>
  <c r="V48" i="36"/>
  <c r="V39" i="36"/>
  <c r="V22" i="36"/>
  <c r="V26" i="36"/>
  <c r="V65" i="36"/>
  <c r="V29" i="36"/>
  <c r="V14" i="36"/>
  <c r="V20" i="36"/>
  <c r="V36" i="36"/>
  <c r="V52" i="36"/>
  <c r="V68" i="36"/>
  <c r="V27" i="36"/>
  <c r="V43" i="36"/>
  <c r="V59" i="36"/>
  <c r="V30" i="36"/>
  <c r="V62" i="36"/>
  <c r="V37" i="36"/>
  <c r="V69" i="36"/>
  <c r="V34" i="36"/>
  <c r="V66" i="36"/>
  <c r="V41" i="36"/>
  <c r="K8" i="37"/>
  <c r="V23" i="36"/>
  <c r="V54" i="36"/>
  <c r="V58" i="36"/>
  <c r="AC35" i="36"/>
  <c r="AC32" i="36"/>
  <c r="AC52" i="36"/>
  <c r="AC40" i="36"/>
  <c r="AC36" i="36"/>
  <c r="AC58" i="36"/>
  <c r="AC53" i="36"/>
  <c r="AC47" i="36"/>
  <c r="AC70" i="36"/>
  <c r="AC41" i="36"/>
  <c r="AC57" i="36"/>
  <c r="AC22" i="36"/>
  <c r="AC59" i="36"/>
  <c r="AC66" i="36"/>
  <c r="AC28" i="36"/>
  <c r="AC24" i="36"/>
  <c r="AC60" i="36"/>
  <c r="AC15" i="36"/>
  <c r="AC25" i="36"/>
  <c r="AC55" i="36"/>
  <c r="AC67" i="36"/>
  <c r="AC45" i="36"/>
  <c r="AC37" i="36"/>
  <c r="AC61" i="36"/>
  <c r="AC31" i="36"/>
  <c r="AC63" i="36"/>
  <c r="AC16" i="36"/>
  <c r="AC68" i="36"/>
  <c r="AC43" i="36"/>
  <c r="AC51" i="36"/>
  <c r="AC21" i="36"/>
  <c r="AC42" i="36"/>
  <c r="AC30" i="36"/>
  <c r="AC23" i="36"/>
  <c r="AC34" i="36"/>
  <c r="AC56" i="36"/>
  <c r="AC48" i="36"/>
  <c r="AC27" i="36"/>
  <c r="AC49" i="36"/>
  <c r="AC17" i="36"/>
  <c r="AC62" i="36"/>
  <c r="AC26" i="36"/>
  <c r="AC14" i="36"/>
  <c r="AC33" i="36"/>
  <c r="AC19" i="36"/>
  <c r="AC20" i="36"/>
  <c r="AC46" i="36"/>
  <c r="AC44" i="36"/>
  <c r="AC65" i="36"/>
  <c r="AC54" i="36"/>
  <c r="AC38" i="36"/>
  <c r="AC29" i="36"/>
  <c r="AC50" i="36"/>
  <c r="AC69" i="36"/>
  <c r="AC39" i="36"/>
  <c r="AC18" i="36"/>
  <c r="AC64" i="36"/>
  <c r="J21" i="43"/>
  <c r="P21" i="43"/>
  <c r="J27" i="43"/>
  <c r="P27" i="43"/>
  <c r="J30" i="43"/>
  <c r="P30" i="43"/>
  <c r="P25" i="43"/>
  <c r="J25" i="43"/>
  <c r="P32" i="43"/>
  <c r="J32" i="43"/>
  <c r="J36" i="43"/>
  <c r="P36" i="43"/>
  <c r="P23" i="43"/>
  <c r="J23" i="43"/>
  <c r="J24" i="43"/>
  <c r="P24" i="43"/>
  <c r="P18" i="43"/>
  <c r="J18" i="43"/>
  <c r="P17" i="43"/>
  <c r="J17" i="43"/>
  <c r="J34" i="43"/>
  <c r="P34" i="43"/>
  <c r="P29" i="43"/>
  <c r="J29" i="43"/>
  <c r="W15" i="43"/>
  <c r="V141" i="43"/>
  <c r="V12" i="43" s="1"/>
  <c r="P35" i="43"/>
  <c r="J35" i="43"/>
  <c r="J20" i="43"/>
  <c r="P20" i="43"/>
  <c r="P22" i="43"/>
  <c r="J22" i="43"/>
  <c r="J16" i="43"/>
  <c r="P16" i="43"/>
  <c r="J31" i="43"/>
  <c r="P31" i="43"/>
  <c r="P33" i="43"/>
  <c r="J33" i="43"/>
  <c r="P28" i="43"/>
  <c r="J28" i="43"/>
  <c r="J19" i="43"/>
  <c r="P19" i="43"/>
  <c r="J26" i="43"/>
  <c r="P26" i="43"/>
  <c r="J15" i="43"/>
  <c r="P15" i="43"/>
  <c r="R96" i="43"/>
  <c r="R100" i="43"/>
  <c r="R48" i="43"/>
  <c r="S112" i="43"/>
  <c r="R110" i="43"/>
  <c r="R139" i="43"/>
  <c r="S131" i="43"/>
  <c r="S124" i="43"/>
  <c r="S108" i="43"/>
  <c r="S126" i="43"/>
  <c r="S107" i="43"/>
  <c r="S73" i="43"/>
  <c r="R116" i="43"/>
  <c r="R132" i="43"/>
  <c r="R56" i="43"/>
  <c r="R135" i="43"/>
  <c r="S134" i="43"/>
  <c r="R80" i="43"/>
  <c r="S104" i="43"/>
  <c r="S105" i="43"/>
  <c r="S75" i="43"/>
  <c r="P40" i="43"/>
  <c r="S127" i="43"/>
  <c r="S76" i="43"/>
  <c r="R92" i="43"/>
  <c r="S44" i="43"/>
  <c r="R60" i="43"/>
  <c r="S114" i="43"/>
  <c r="S138" i="43"/>
  <c r="R130" i="43"/>
  <c r="S103" i="43"/>
  <c r="L120" i="53"/>
  <c r="Q120" i="53"/>
  <c r="R56" i="53"/>
  <c r="R113" i="53"/>
  <c r="Q100" i="53"/>
  <c r="L100" i="53"/>
  <c r="R109" i="53"/>
  <c r="R48" i="53"/>
  <c r="Q132" i="53"/>
  <c r="L132" i="53"/>
  <c r="R89" i="53"/>
  <c r="R41" i="53"/>
  <c r="J141" i="53"/>
  <c r="J12" i="53" s="1"/>
  <c r="R92" i="53"/>
  <c r="R105" i="53"/>
  <c r="L136" i="53"/>
  <c r="Q136" i="53"/>
  <c r="R29" i="53"/>
  <c r="O141" i="53"/>
  <c r="O12" i="53" s="1"/>
  <c r="L85" i="53"/>
  <c r="Q85" i="53"/>
  <c r="R24" i="53"/>
  <c r="L53" i="53"/>
  <c r="Q53" i="53"/>
  <c r="K91" i="53"/>
  <c r="P91" i="53"/>
  <c r="K59" i="53"/>
  <c r="P59" i="53"/>
  <c r="P63" i="53"/>
  <c r="K63" i="53"/>
  <c r="K131" i="53"/>
  <c r="P131" i="53"/>
  <c r="K27" i="53"/>
  <c r="P27" i="53"/>
  <c r="P39" i="53"/>
  <c r="K39" i="53"/>
  <c r="Q108" i="53"/>
  <c r="L108" i="53"/>
  <c r="K19" i="53"/>
  <c r="P19" i="53"/>
  <c r="K67" i="53"/>
  <c r="P67" i="53"/>
  <c r="P135" i="53"/>
  <c r="K135" i="53"/>
  <c r="K79" i="53"/>
  <c r="P79" i="53"/>
  <c r="Q16" i="53"/>
  <c r="L16" i="53"/>
  <c r="K115" i="53"/>
  <c r="P115" i="53"/>
  <c r="R112" i="53"/>
  <c r="R72" i="53"/>
  <c r="K83" i="53"/>
  <c r="P83" i="53"/>
  <c r="P55" i="53"/>
  <c r="K55" i="53"/>
  <c r="L97" i="53"/>
  <c r="Q97" i="53"/>
  <c r="P47" i="53"/>
  <c r="K47" i="53"/>
  <c r="Q119" i="53"/>
  <c r="L119" i="53"/>
  <c r="P123" i="53"/>
  <c r="K123" i="53"/>
  <c r="K75" i="53"/>
  <c r="P75" i="53"/>
  <c r="K35" i="53"/>
  <c r="P35" i="53"/>
  <c r="L36" i="53"/>
  <c r="Q36" i="53"/>
  <c r="L107" i="53"/>
  <c r="Q107" i="53"/>
  <c r="K87" i="53"/>
  <c r="P87" i="53"/>
  <c r="K111" i="53"/>
  <c r="P111" i="53"/>
  <c r="R57" i="53"/>
  <c r="R96" i="53"/>
  <c r="P23" i="53"/>
  <c r="K23" i="53"/>
  <c r="K51" i="53"/>
  <c r="P51" i="53"/>
  <c r="K43" i="53"/>
  <c r="P43" i="53"/>
  <c r="K139" i="53"/>
  <c r="P139" i="53"/>
  <c r="K99" i="53"/>
  <c r="P99" i="53"/>
  <c r="K34" i="53"/>
  <c r="P34" i="53"/>
  <c r="K62" i="53"/>
  <c r="P62" i="53"/>
  <c r="R76" i="53"/>
  <c r="K74" i="53"/>
  <c r="P74" i="53"/>
  <c r="K15" i="53"/>
  <c r="P15" i="53"/>
  <c r="K102" i="53"/>
  <c r="P102" i="53"/>
  <c r="K138" i="53"/>
  <c r="P138" i="53"/>
  <c r="K122" i="53"/>
  <c r="P122" i="53"/>
  <c r="P114" i="53"/>
  <c r="K114" i="53"/>
  <c r="K118" i="53"/>
  <c r="P118" i="53"/>
  <c r="K90" i="53"/>
  <c r="P90" i="53"/>
  <c r="L42" i="53"/>
  <c r="Q42" i="53"/>
  <c r="P18" i="53"/>
  <c r="AA141" i="53"/>
  <c r="AA12" i="53" s="1"/>
  <c r="K18" i="53"/>
  <c r="K130" i="53"/>
  <c r="P130" i="53"/>
  <c r="Q101" i="53"/>
  <c r="L101" i="53"/>
  <c r="Q71" i="53"/>
  <c r="L71" i="53"/>
  <c r="K58" i="53"/>
  <c r="P58" i="53"/>
  <c r="L127" i="53"/>
  <c r="Q127" i="53"/>
  <c r="P134" i="53"/>
  <c r="K134" i="53"/>
  <c r="K98" i="53"/>
  <c r="P98" i="53"/>
  <c r="P78" i="53"/>
  <c r="K78" i="53"/>
  <c r="L31" i="53"/>
  <c r="Q31" i="53"/>
  <c r="K26" i="53"/>
  <c r="P26" i="53"/>
  <c r="P22" i="53"/>
  <c r="K22" i="53"/>
  <c r="L81" i="53"/>
  <c r="Q81" i="53"/>
  <c r="K94" i="53"/>
  <c r="P94" i="53"/>
  <c r="K86" i="53"/>
  <c r="P86" i="53"/>
  <c r="P50" i="53"/>
  <c r="K50" i="53"/>
  <c r="K82" i="53"/>
  <c r="P82" i="53"/>
  <c r="K126" i="53"/>
  <c r="P126" i="53"/>
  <c r="K66" i="53"/>
  <c r="P66" i="53"/>
  <c r="K30" i="53"/>
  <c r="P30" i="53"/>
  <c r="K70" i="53"/>
  <c r="P70" i="53"/>
  <c r="P54" i="53"/>
  <c r="K54" i="53"/>
  <c r="P38" i="53"/>
  <c r="K38" i="53"/>
  <c r="L137" i="53"/>
  <c r="Q137" i="53"/>
  <c r="L28" i="53"/>
  <c r="Q28" i="53"/>
  <c r="P46" i="53"/>
  <c r="K46" i="53"/>
  <c r="I256" i="18"/>
  <c r="G61" i="38" s="1"/>
  <c r="K234" i="18"/>
  <c r="K227" i="18" s="1"/>
  <c r="K226" i="18"/>
  <c r="I17" i="38" s="1"/>
  <c r="M269" i="18"/>
  <c r="M239" i="18"/>
  <c r="G59" i="38"/>
  <c r="O193" i="31"/>
  <c r="O152" i="31"/>
  <c r="O161" i="31"/>
  <c r="L45" i="31"/>
  <c r="L43" i="31"/>
  <c r="L44" i="31"/>
  <c r="N25" i="31"/>
  <c r="O25" i="31"/>
  <c r="H17" i="38"/>
  <c r="J263" i="18"/>
  <c r="J256" i="18" s="1"/>
  <c r="H61" i="38" s="1"/>
  <c r="H16" i="44"/>
  <c r="G18" i="38"/>
  <c r="I109" i="49"/>
  <c r="H109" i="49"/>
  <c r="J109" i="49"/>
  <c r="F109" i="49"/>
  <c r="G109" i="49"/>
  <c r="G103" i="49"/>
  <c r="H104" i="49"/>
  <c r="K150" i="24"/>
  <c r="K15" i="24" s="1"/>
  <c r="J174" i="18" s="1"/>
  <c r="M34" i="31"/>
  <c r="I102" i="49" s="1"/>
  <c r="M33" i="31"/>
  <c r="I101" i="49" s="1"/>
  <c r="N132" i="31"/>
  <c r="N131" i="31"/>
  <c r="N103" i="31"/>
  <c r="N186" i="31"/>
  <c r="N198" i="31"/>
  <c r="N72" i="31"/>
  <c r="N166" i="31"/>
  <c r="O201" i="31"/>
  <c r="N81" i="31"/>
  <c r="K266" i="24"/>
  <c r="K21" i="24" s="1"/>
  <c r="L157" i="35" s="1"/>
  <c r="N182" i="31"/>
  <c r="N202" i="31"/>
  <c r="O238" i="31"/>
  <c r="N88" i="31"/>
  <c r="O153" i="31"/>
  <c r="N162" i="31"/>
  <c r="O183" i="31"/>
  <c r="N221" i="31"/>
  <c r="O147" i="31"/>
  <c r="O208" i="31"/>
  <c r="O101" i="31"/>
  <c r="N178" i="31"/>
  <c r="N227" i="31"/>
  <c r="N216" i="31"/>
  <c r="O158" i="31"/>
  <c r="N218" i="31"/>
  <c r="M241" i="31"/>
  <c r="M37" i="31" s="1"/>
  <c r="O173" i="31"/>
  <c r="N232" i="31"/>
  <c r="O222" i="31"/>
  <c r="O231" i="31"/>
  <c r="N206" i="31"/>
  <c r="N233" i="31"/>
  <c r="O168" i="31"/>
  <c r="N226" i="31"/>
  <c r="O236" i="31"/>
  <c r="O176" i="31"/>
  <c r="O133" i="31"/>
  <c r="M32" i="31"/>
  <c r="M43" i="31" s="1"/>
  <c r="O187" i="31"/>
  <c r="M16" i="35"/>
  <c r="Q25" i="29" s="1"/>
  <c r="Q27" i="29" s="1"/>
  <c r="T79" i="13"/>
  <c r="T99" i="13" s="1"/>
  <c r="AB99" i="13"/>
  <c r="J143" i="13"/>
  <c r="AB143" i="13" s="1"/>
  <c r="AK143" i="13"/>
  <c r="AL143" i="13" s="1"/>
  <c r="G175" i="13"/>
  <c r="H20" i="47"/>
  <c r="O61" i="31"/>
  <c r="H17" i="44"/>
  <c r="H21" i="44" s="1"/>
  <c r="H22" i="44" s="1"/>
  <c r="H24" i="18"/>
  <c r="Q14" i="29"/>
  <c r="AF127" i="13"/>
  <c r="AF84" i="13"/>
  <c r="AF89" i="13"/>
  <c r="AF113" i="13"/>
  <c r="AF120" i="13"/>
  <c r="AF112" i="13"/>
  <c r="S112" i="13" s="1"/>
  <c r="AF93" i="13"/>
  <c r="AF81" i="13"/>
  <c r="S81" i="13" s="1"/>
  <c r="AF94" i="13"/>
  <c r="AF90" i="13"/>
  <c r="AJ177" i="13"/>
  <c r="AE149" i="13"/>
  <c r="AD149" i="13"/>
  <c r="AD160" i="13"/>
  <c r="AE160" i="13"/>
  <c r="AJ187" i="13"/>
  <c r="AJ180" i="13"/>
  <c r="T176" i="13"/>
  <c r="AJ176" i="13"/>
  <c r="T147" i="13"/>
  <c r="AJ147" i="13"/>
  <c r="AJ194" i="13"/>
  <c r="AF130" i="13"/>
  <c r="AD118" i="13"/>
  <c r="AE118" i="13"/>
  <c r="R118" i="13" s="1"/>
  <c r="AF117" i="13"/>
  <c r="AD162" i="13"/>
  <c r="AE162" i="13"/>
  <c r="AD115" i="13"/>
  <c r="AE115" i="13"/>
  <c r="AD144" i="13"/>
  <c r="AE144" i="13"/>
  <c r="AD158" i="13"/>
  <c r="AE158" i="13"/>
  <c r="AD129" i="13"/>
  <c r="AE129" i="13"/>
  <c r="AJ157" i="13"/>
  <c r="AJ153" i="13"/>
  <c r="AJ184" i="13"/>
  <c r="AJ183" i="13"/>
  <c r="AJ146" i="13"/>
  <c r="AJ188" i="13"/>
  <c r="AD116" i="13"/>
  <c r="AE116" i="13"/>
  <c r="I220" i="13"/>
  <c r="AJ182" i="13"/>
  <c r="AJ181" i="13"/>
  <c r="AJ161" i="13"/>
  <c r="AF126" i="13"/>
  <c r="AF124" i="13"/>
  <c r="AF91" i="13"/>
  <c r="AE159" i="13"/>
  <c r="AD159" i="13"/>
  <c r="AD122" i="13"/>
  <c r="AE122" i="13"/>
  <c r="AE155" i="13"/>
  <c r="AD155" i="13"/>
  <c r="AD156" i="13"/>
  <c r="AE156" i="13"/>
  <c r="AD121" i="13"/>
  <c r="AE121" i="13"/>
  <c r="AF128" i="13"/>
  <c r="AF97" i="13"/>
  <c r="AF88" i="13"/>
  <c r="AJ192" i="13"/>
  <c r="AJ191" i="13"/>
  <c r="AE145" i="13"/>
  <c r="AD145" i="13"/>
  <c r="AJ190" i="13"/>
  <c r="AJ154" i="13"/>
  <c r="AF83" i="13"/>
  <c r="S83" i="13" s="1"/>
  <c r="AF95" i="13"/>
  <c r="AD114" i="13"/>
  <c r="AE114" i="13"/>
  <c r="AE125" i="13"/>
  <c r="AD125" i="13"/>
  <c r="AF123" i="13"/>
  <c r="AD152" i="13"/>
  <c r="AE152" i="13"/>
  <c r="AD148" i="13"/>
  <c r="AE148" i="13"/>
  <c r="I265" i="18"/>
  <c r="L158" i="29"/>
  <c r="L54" i="29" s="1"/>
  <c r="R53" i="29"/>
  <c r="L53" i="29"/>
  <c r="R158" i="29"/>
  <c r="R54" i="29" s="1"/>
  <c r="M70" i="29"/>
  <c r="M76" i="29"/>
  <c r="M107" i="29"/>
  <c r="M68" i="29"/>
  <c r="M110" i="29"/>
  <c r="M60" i="29"/>
  <c r="M98" i="29"/>
  <c r="M84" i="29"/>
  <c r="M115" i="29"/>
  <c r="M102" i="29"/>
  <c r="M64" i="29"/>
  <c r="M80" i="29"/>
  <c r="S15" i="13"/>
  <c r="U15" i="13" s="1"/>
  <c r="U35" i="13" s="1"/>
  <c r="AL111" i="13"/>
  <c r="AL131" i="13" s="1"/>
  <c r="O175" i="13"/>
  <c r="I175" i="13"/>
  <c r="AJ143" i="13"/>
  <c r="U47" i="13"/>
  <c r="P99" i="13"/>
  <c r="O163" i="13"/>
  <c r="AH143" i="13"/>
  <c r="P143" i="13"/>
  <c r="I226" i="13"/>
  <c r="E211" i="13"/>
  <c r="I193" i="13"/>
  <c r="K215" i="13"/>
  <c r="I179" i="13"/>
  <c r="J179" i="13" s="1"/>
  <c r="AB179" i="13" s="1"/>
  <c r="G253" i="13"/>
  <c r="K222" i="13"/>
  <c r="G226" i="13"/>
  <c r="G280" i="13"/>
  <c r="E212" i="13"/>
  <c r="J212" i="13" s="1"/>
  <c r="G211" i="13"/>
  <c r="AK211" i="13" s="1"/>
  <c r="AL211" i="13" s="1"/>
  <c r="I223" i="13"/>
  <c r="I213" i="13"/>
  <c r="E178" i="13"/>
  <c r="I178" i="13"/>
  <c r="R44" i="53"/>
  <c r="V15" i="53"/>
  <c r="U141" i="53"/>
  <c r="U12" i="53" s="1"/>
  <c r="O223" i="31"/>
  <c r="L48" i="43"/>
  <c r="I94" i="43"/>
  <c r="O237" i="31"/>
  <c r="L96" i="43"/>
  <c r="I43" i="43"/>
  <c r="L116" i="43"/>
  <c r="R21" i="53"/>
  <c r="L37" i="53"/>
  <c r="Q37" i="53"/>
  <c r="L125" i="53"/>
  <c r="Q125" i="53"/>
  <c r="I98" i="43"/>
  <c r="L100" i="43"/>
  <c r="L139" i="43"/>
  <c r="R80" i="53"/>
  <c r="R20" i="53"/>
  <c r="I212" i="13"/>
  <c r="AB212" i="13" s="1"/>
  <c r="I214" i="13"/>
  <c r="R60" i="53"/>
  <c r="I58" i="43"/>
  <c r="L92" i="43"/>
  <c r="L135" i="43"/>
  <c r="I70" i="43"/>
  <c r="I186" i="13"/>
  <c r="L80" i="43"/>
  <c r="R117" i="53"/>
  <c r="I42" i="43"/>
  <c r="Q95" i="53"/>
  <c r="L95" i="53"/>
  <c r="L103" i="53"/>
  <c r="Q103" i="53"/>
  <c r="R121" i="53"/>
  <c r="I37" i="43"/>
  <c r="H141" i="43"/>
  <c r="H12" i="43" s="1"/>
  <c r="I50" i="43"/>
  <c r="I216" i="13"/>
  <c r="I90" i="43"/>
  <c r="AI141" i="43"/>
  <c r="AI12" i="43" s="1"/>
  <c r="AJ15" i="43"/>
  <c r="L110" i="43"/>
  <c r="M93" i="29"/>
  <c r="M52" i="29" s="1"/>
  <c r="S52" i="29"/>
  <c r="O217" i="31"/>
  <c r="L60" i="43"/>
  <c r="I215" i="13"/>
  <c r="AJ15" i="53"/>
  <c r="AJ141" i="53" s="1"/>
  <c r="AJ12" i="53" s="1"/>
  <c r="AI141" i="53"/>
  <c r="AI12" i="53" s="1"/>
  <c r="I78" i="43"/>
  <c r="I46" i="43"/>
  <c r="R110" i="53"/>
  <c r="L56" i="43"/>
  <c r="I74" i="43"/>
  <c r="L130" i="43"/>
  <c r="I38" i="43"/>
  <c r="I39" i="43"/>
  <c r="I82" i="43"/>
  <c r="Q69" i="53"/>
  <c r="L69" i="53"/>
  <c r="I62" i="43"/>
  <c r="L132" i="43"/>
  <c r="I66" i="43"/>
  <c r="I208" i="13"/>
  <c r="J40" i="43"/>
  <c r="G283" i="13"/>
  <c r="O228" i="31"/>
  <c r="I86" i="43"/>
  <c r="I54" i="43"/>
  <c r="R124" i="53"/>
  <c r="AD10" i="53"/>
  <c r="M50" i="29"/>
  <c r="M143" i="18"/>
  <c r="M172" i="18" s="1"/>
  <c r="K8" i="38"/>
  <c r="F40" i="37"/>
  <c r="F43" i="37" s="1"/>
  <c r="H15" i="39" s="1"/>
  <c r="W12" i="36"/>
  <c r="G22" i="37"/>
  <c r="G25" i="37" s="1"/>
  <c r="F36" i="40" s="1"/>
  <c r="F40" i="40" s="1"/>
  <c r="AB12" i="36"/>
  <c r="J31" i="37"/>
  <c r="N110" i="35" s="1"/>
  <c r="U12" i="36"/>
  <c r="M8" i="37"/>
  <c r="X16" i="36"/>
  <c r="X17" i="36"/>
  <c r="X19" i="36"/>
  <c r="X21" i="36"/>
  <c r="X23" i="36"/>
  <c r="X25" i="36"/>
  <c r="X27" i="36"/>
  <c r="X29" i="36"/>
  <c r="X31" i="36"/>
  <c r="X33" i="36"/>
  <c r="X35" i="36"/>
  <c r="X37" i="36"/>
  <c r="X39" i="36"/>
  <c r="X41" i="36"/>
  <c r="X43" i="36"/>
  <c r="X45" i="36"/>
  <c r="X47" i="36"/>
  <c r="X49" i="36"/>
  <c r="X51" i="36"/>
  <c r="X53" i="36"/>
  <c r="X55" i="36"/>
  <c r="X57" i="36"/>
  <c r="X59" i="36"/>
  <c r="X61" i="36"/>
  <c r="X63" i="36"/>
  <c r="X65" i="36"/>
  <c r="X67" i="36"/>
  <c r="X69" i="36"/>
  <c r="AH8" i="36"/>
  <c r="X18" i="36"/>
  <c r="X20" i="36"/>
  <c r="X22" i="36"/>
  <c r="X24" i="36"/>
  <c r="X26" i="36"/>
  <c r="X28" i="36"/>
  <c r="X30" i="36"/>
  <c r="X32" i="36"/>
  <c r="X36" i="36"/>
  <c r="X40" i="36"/>
  <c r="X44" i="36"/>
  <c r="X48" i="36"/>
  <c r="X52" i="36"/>
  <c r="X56" i="36"/>
  <c r="X60" i="36"/>
  <c r="X64" i="36"/>
  <c r="X68" i="36"/>
  <c r="X34" i="36"/>
  <c r="X38" i="36"/>
  <c r="X42" i="36"/>
  <c r="X46" i="36"/>
  <c r="X50" i="36"/>
  <c r="X54" i="36"/>
  <c r="X58" i="36"/>
  <c r="X62" i="36"/>
  <c r="X66" i="36"/>
  <c r="X70" i="36"/>
  <c r="X14" i="36"/>
  <c r="X15" i="36"/>
  <c r="I22" i="37"/>
  <c r="I25" i="37" s="1"/>
  <c r="H36" i="40" s="1"/>
  <c r="AD12" i="36"/>
  <c r="AE40" i="36"/>
  <c r="AE55" i="36"/>
  <c r="AE33" i="36"/>
  <c r="AE36" i="36"/>
  <c r="AE25" i="36"/>
  <c r="AE37" i="36"/>
  <c r="AE30" i="36"/>
  <c r="AE20" i="36"/>
  <c r="AE47" i="36"/>
  <c r="AE62" i="36"/>
  <c r="AE50" i="36"/>
  <c r="AE28" i="36"/>
  <c r="AE35" i="36"/>
  <c r="AE65" i="36"/>
  <c r="AE31" i="36"/>
  <c r="AE69" i="36"/>
  <c r="AE18" i="36"/>
  <c r="AE61" i="36"/>
  <c r="AE59" i="36"/>
  <c r="AE39" i="36"/>
  <c r="AE58" i="36"/>
  <c r="AE44" i="36"/>
  <c r="AE70" i="36"/>
  <c r="AE17" i="36"/>
  <c r="AE54" i="36"/>
  <c r="AE19" i="36"/>
  <c r="AE16" i="36"/>
  <c r="AE46" i="36"/>
  <c r="AE32" i="36"/>
  <c r="AE66" i="36"/>
  <c r="AE15" i="36"/>
  <c r="AE23" i="36"/>
  <c r="AE34" i="36"/>
  <c r="AE51" i="36"/>
  <c r="AE67" i="36"/>
  <c r="AE26" i="36"/>
  <c r="AE64" i="36"/>
  <c r="AE29" i="36"/>
  <c r="AE24" i="36"/>
  <c r="AE53" i="36"/>
  <c r="AE45" i="36"/>
  <c r="AE48" i="36"/>
  <c r="AE22" i="36"/>
  <c r="AE21" i="36"/>
  <c r="AE60" i="36"/>
  <c r="AE52" i="36"/>
  <c r="AE49" i="36"/>
  <c r="AE57" i="36"/>
  <c r="AE38" i="36"/>
  <c r="AE14" i="36"/>
  <c r="AE68" i="36"/>
  <c r="AE56" i="36"/>
  <c r="AE63" i="36"/>
  <c r="AE27" i="36"/>
  <c r="AE43" i="36"/>
  <c r="AE42" i="36"/>
  <c r="AE41" i="36"/>
  <c r="AG15" i="36"/>
  <c r="AG18" i="36"/>
  <c r="AG20" i="36"/>
  <c r="AG22" i="36"/>
  <c r="AG24" i="36"/>
  <c r="AG26" i="36"/>
  <c r="AG28" i="36"/>
  <c r="AG30" i="36"/>
  <c r="AG32" i="36"/>
  <c r="AG34" i="36"/>
  <c r="AG36" i="36"/>
  <c r="AG38" i="36"/>
  <c r="AG40" i="36"/>
  <c r="AG42" i="36"/>
  <c r="AG44" i="36"/>
  <c r="AG46" i="36"/>
  <c r="AG48" i="36"/>
  <c r="AG50" i="36"/>
  <c r="AG52" i="36"/>
  <c r="AG54" i="36"/>
  <c r="AG56" i="36"/>
  <c r="AG58" i="36"/>
  <c r="AG60" i="36"/>
  <c r="AG62" i="36"/>
  <c r="AG64" i="36"/>
  <c r="AG66" i="36"/>
  <c r="AG68" i="36"/>
  <c r="AG70" i="36"/>
  <c r="AG16" i="36"/>
  <c r="AG17" i="36"/>
  <c r="AG21" i="36"/>
  <c r="AG25" i="36"/>
  <c r="AG29" i="36"/>
  <c r="AG33" i="36"/>
  <c r="AG37" i="36"/>
  <c r="AG41" i="36"/>
  <c r="AG45" i="36"/>
  <c r="AG49" i="36"/>
  <c r="AG53" i="36"/>
  <c r="AG57" i="36"/>
  <c r="AG61" i="36"/>
  <c r="AG65" i="36"/>
  <c r="AG69" i="36"/>
  <c r="AG14" i="36"/>
  <c r="AG19" i="36"/>
  <c r="AG23" i="36"/>
  <c r="AG27" i="36"/>
  <c r="AG31" i="36"/>
  <c r="AG35" i="36"/>
  <c r="AG39" i="36"/>
  <c r="AG43" i="36"/>
  <c r="AG47" i="36"/>
  <c r="AG51" i="36"/>
  <c r="AG55" i="36"/>
  <c r="AG59" i="36"/>
  <c r="AG63" i="36"/>
  <c r="AG67" i="36"/>
  <c r="L31" i="37"/>
  <c r="I36" i="38"/>
  <c r="H20" i="49"/>
  <c r="J34" i="38"/>
  <c r="L21" i="39"/>
  <c r="I24" i="40" s="1"/>
  <c r="G25" i="40"/>
  <c r="G26" i="40" s="1"/>
  <c r="F54" i="49"/>
  <c r="F55" i="49" s="1"/>
  <c r="H24" i="40"/>
  <c r="L16" i="39"/>
  <c r="H38" i="40"/>
  <c r="L47" i="39"/>
  <c r="K54" i="39"/>
  <c r="L20" i="39"/>
  <c r="I23" i="40" s="1"/>
  <c r="L19" i="39"/>
  <c r="I22" i="40" s="1"/>
  <c r="L14" i="39"/>
  <c r="H37" i="40"/>
  <c r="L43" i="39"/>
  <c r="K45" i="39"/>
  <c r="H44" i="40" s="1"/>
  <c r="I12" i="37"/>
  <c r="K183" i="35"/>
  <c r="I205" i="18"/>
  <c r="I247" i="18" s="1"/>
  <c r="I277" i="18"/>
  <c r="L19" i="48"/>
  <c r="L214" i="48" s="1"/>
  <c r="O85" i="35"/>
  <c r="O91" i="35" s="1"/>
  <c r="N91" i="35"/>
  <c r="F62" i="38"/>
  <c r="O124" i="35"/>
  <c r="N124" i="35"/>
  <c r="L213" i="35"/>
  <c r="H23" i="38"/>
  <c r="L209" i="35"/>
  <c r="L94" i="35"/>
  <c r="H30" i="49"/>
  <c r="H33" i="49" s="1"/>
  <c r="H115" i="49" s="1"/>
  <c r="M134" i="35"/>
  <c r="O129" i="35"/>
  <c r="O131" i="35" s="1"/>
  <c r="J31" i="49" s="1"/>
  <c r="N131" i="35"/>
  <c r="I31" i="49" s="1"/>
  <c r="M208" i="35"/>
  <c r="M81" i="35"/>
  <c r="M226" i="35"/>
  <c r="G220" i="13"/>
  <c r="G210" i="13"/>
  <c r="AK210" i="13" s="1"/>
  <c r="AL210" i="13" s="1"/>
  <c r="G224" i="13"/>
  <c r="E185" i="13"/>
  <c r="G281" i="13"/>
  <c r="K208" i="13"/>
  <c r="E225" i="13"/>
  <c r="G225" i="13"/>
  <c r="G209" i="13"/>
  <c r="AK209" i="13" s="1"/>
  <c r="AL209" i="13" s="1"/>
  <c r="G250" i="13"/>
  <c r="I252" i="13"/>
  <c r="K269" i="18"/>
  <c r="L269" i="18"/>
  <c r="K99" i="18"/>
  <c r="K271" i="18"/>
  <c r="K112" i="18"/>
  <c r="L107" i="18"/>
  <c r="L233" i="18" s="1"/>
  <c r="L226" i="18" s="1"/>
  <c r="J124" i="18"/>
  <c r="I15" i="38"/>
  <c r="J262" i="18"/>
  <c r="M84" i="18"/>
  <c r="M87" i="18" s="1"/>
  <c r="M232" i="18" s="1"/>
  <c r="M225" i="18" s="1"/>
  <c r="L87" i="18"/>
  <c r="L232" i="18" s="1"/>
  <c r="L225" i="18" s="1"/>
  <c r="M270" i="18"/>
  <c r="M121" i="18"/>
  <c r="M241" i="18" s="1"/>
  <c r="L270" i="18"/>
  <c r="H15" i="38"/>
  <c r="I264" i="18"/>
  <c r="I257" i="18" s="1"/>
  <c r="E221" i="13"/>
  <c r="E192" i="13"/>
  <c r="E222" i="13"/>
  <c r="I209" i="13"/>
  <c r="I219" i="13"/>
  <c r="E214" i="13"/>
  <c r="I224" i="13"/>
  <c r="E183" i="13"/>
  <c r="J183" i="13" s="1"/>
  <c r="AB183" i="13" s="1"/>
  <c r="T183" i="13" s="1"/>
  <c r="E177" i="13"/>
  <c r="J177" i="13" s="1"/>
  <c r="AB177" i="13" s="1"/>
  <c r="I222" i="13"/>
  <c r="G190" i="13"/>
  <c r="E208" i="13"/>
  <c r="J208" i="13" s="1"/>
  <c r="AB208" i="13" s="1"/>
  <c r="E213" i="13"/>
  <c r="E184" i="13"/>
  <c r="E191" i="13"/>
  <c r="E218" i="13"/>
  <c r="I189" i="13"/>
  <c r="K193" i="13"/>
  <c r="E188" i="13"/>
  <c r="E187" i="13"/>
  <c r="I185" i="13"/>
  <c r="G34" i="49"/>
  <c r="R11" i="29"/>
  <c r="L145" i="18" s="1"/>
  <c r="O10" i="29"/>
  <c r="H57" i="18"/>
  <c r="J19" i="18"/>
  <c r="P10" i="29" s="1"/>
  <c r="P12" i="29" s="1"/>
  <c r="P13" i="29"/>
  <c r="P15" i="29" s="1"/>
  <c r="J40" i="1"/>
  <c r="K15" i="18"/>
  <c r="J39" i="1"/>
  <c r="N26" i="31"/>
  <c r="N27" i="31" s="1"/>
  <c r="K24" i="1"/>
  <c r="J41" i="18"/>
  <c r="K16" i="24"/>
  <c r="J17" i="18"/>
  <c r="K28" i="18"/>
  <c r="J33" i="18"/>
  <c r="K63" i="18"/>
  <c r="M45" i="31"/>
  <c r="M44" i="31"/>
  <c r="K207" i="13"/>
  <c r="H41" i="39"/>
  <c r="K14" i="37"/>
  <c r="K32" i="1" l="1"/>
  <c r="K33" i="1"/>
  <c r="P32" i="29"/>
  <c r="P34" i="29" s="1"/>
  <c r="P30" i="29"/>
  <c r="O32" i="29"/>
  <c r="O34" i="29" s="1"/>
  <c r="O27" i="29"/>
  <c r="O17" i="29"/>
  <c r="O19" i="29" s="1"/>
  <c r="O12" i="29"/>
  <c r="P131" i="13"/>
  <c r="N78" i="24"/>
  <c r="N194" i="24"/>
  <c r="M72" i="24"/>
  <c r="M188" i="24"/>
  <c r="N185" i="24"/>
  <c r="N69" i="24"/>
  <c r="N64" i="24"/>
  <c r="N180" i="24"/>
  <c r="M176" i="24"/>
  <c r="M60" i="24"/>
  <c r="N61" i="24"/>
  <c r="N177" i="24"/>
  <c r="M174" i="24"/>
  <c r="M58" i="24"/>
  <c r="N89" i="24"/>
  <c r="N205" i="24"/>
  <c r="N204" i="24"/>
  <c r="N88" i="24"/>
  <c r="M199" i="24"/>
  <c r="M83" i="24"/>
  <c r="N77" i="24"/>
  <c r="N193" i="24"/>
  <c r="N192" i="24"/>
  <c r="N76" i="24"/>
  <c r="N190" i="24"/>
  <c r="N74" i="24"/>
  <c r="M73" i="24"/>
  <c r="M189" i="24"/>
  <c r="N181" i="24"/>
  <c r="N65" i="24"/>
  <c r="N178" i="24"/>
  <c r="N62" i="24"/>
  <c r="M53" i="24"/>
  <c r="M169" i="24"/>
  <c r="N50" i="24"/>
  <c r="N166" i="24"/>
  <c r="AF86" i="13"/>
  <c r="S86" i="13" s="1"/>
  <c r="U86" i="13" s="1"/>
  <c r="AD150" i="13"/>
  <c r="AF79" i="13"/>
  <c r="S79" i="13" s="1"/>
  <c r="U79" i="13" s="1"/>
  <c r="AF82" i="13"/>
  <c r="S82" i="13" s="1"/>
  <c r="U82" i="13" s="1"/>
  <c r="AE150" i="13"/>
  <c r="R150" i="13" s="1"/>
  <c r="AD151" i="13"/>
  <c r="AF119" i="13"/>
  <c r="S119" i="13" s="1"/>
  <c r="U119" i="13" s="1"/>
  <c r="AE151" i="13"/>
  <c r="R151" i="13" s="1"/>
  <c r="J41" i="22"/>
  <c r="M184" i="48"/>
  <c r="M101" i="48"/>
  <c r="M164" i="48"/>
  <c r="M204" i="48"/>
  <c r="M216" i="48" s="1"/>
  <c r="M124" i="48"/>
  <c r="M41" i="48"/>
  <c r="M81" i="48"/>
  <c r="M144" i="48"/>
  <c r="M61" i="48"/>
  <c r="M21" i="48"/>
  <c r="H52" i="47"/>
  <c r="G63" i="18" s="1"/>
  <c r="H21" i="47"/>
  <c r="H53" i="47" s="1"/>
  <c r="K195" i="18"/>
  <c r="U80" i="13"/>
  <c r="Q18" i="29"/>
  <c r="K146" i="18"/>
  <c r="K147" i="18" s="1"/>
  <c r="K161" i="18" s="1"/>
  <c r="K235" i="18" s="1"/>
  <c r="AB146" i="13"/>
  <c r="T146" i="13" s="1"/>
  <c r="J182" i="13"/>
  <c r="AB182" i="13" s="1"/>
  <c r="T182" i="13" s="1"/>
  <c r="K209" i="13"/>
  <c r="T177" i="13"/>
  <c r="O177" i="13"/>
  <c r="K212" i="13"/>
  <c r="R180" i="13"/>
  <c r="U180" i="13"/>
  <c r="O180" i="13"/>
  <c r="T180" i="13"/>
  <c r="S180" i="13"/>
  <c r="R115" i="13"/>
  <c r="J213" i="13"/>
  <c r="AB213" i="13" s="1"/>
  <c r="U67" i="13"/>
  <c r="H274" i="18" s="1"/>
  <c r="AK176" i="13"/>
  <c r="AL176" i="13" s="1"/>
  <c r="G208" i="13"/>
  <c r="AK180" i="13"/>
  <c r="AL180" i="13" s="1"/>
  <c r="G212" i="13"/>
  <c r="P176" i="13"/>
  <c r="AH176" i="13"/>
  <c r="K195" i="13"/>
  <c r="U83" i="13"/>
  <c r="K213" i="13"/>
  <c r="T181" i="13"/>
  <c r="O181" i="13"/>
  <c r="P183" i="13"/>
  <c r="AH183" i="13"/>
  <c r="R144" i="13"/>
  <c r="AK182" i="13"/>
  <c r="AL182" i="13" s="1"/>
  <c r="G214" i="13"/>
  <c r="P148" i="13"/>
  <c r="AH148" i="13"/>
  <c r="AK181" i="13"/>
  <c r="AL181" i="13" s="1"/>
  <c r="G213" i="13"/>
  <c r="U81" i="13"/>
  <c r="S113" i="13"/>
  <c r="R113" i="13"/>
  <c r="K210" i="13"/>
  <c r="O178" i="13"/>
  <c r="O208" i="13"/>
  <c r="T208" i="13"/>
  <c r="J178" i="13"/>
  <c r="AB178" i="13" s="1"/>
  <c r="T178" i="13" s="1"/>
  <c r="O215" i="13"/>
  <c r="AL163" i="13"/>
  <c r="H328" i="13" s="1"/>
  <c r="AH149" i="13"/>
  <c r="P149" i="13"/>
  <c r="R117" i="13"/>
  <c r="S117" i="13"/>
  <c r="U85" i="13"/>
  <c r="AK183" i="13"/>
  <c r="AL183" i="13" s="1"/>
  <c r="G215" i="13"/>
  <c r="U87" i="13"/>
  <c r="P182" i="13"/>
  <c r="AH182" i="13"/>
  <c r="K246" i="13"/>
  <c r="O214" i="13"/>
  <c r="K211" i="13"/>
  <c r="O179" i="13"/>
  <c r="AH147" i="13"/>
  <c r="P147" i="13"/>
  <c r="AH145" i="13"/>
  <c r="P145" i="13"/>
  <c r="P146" i="13"/>
  <c r="AH146" i="13"/>
  <c r="R114" i="13"/>
  <c r="U112" i="13"/>
  <c r="O36" i="29"/>
  <c r="Y53" i="29"/>
  <c r="R29" i="29" s="1"/>
  <c r="Y158" i="29"/>
  <c r="Y54" i="29" s="1"/>
  <c r="J99" i="49"/>
  <c r="N15" i="35"/>
  <c r="R35" i="29" s="1"/>
  <c r="K20" i="18"/>
  <c r="Q13" i="29" s="1"/>
  <c r="Q15" i="29" s="1"/>
  <c r="M17" i="35"/>
  <c r="Q28" i="29" s="1"/>
  <c r="I104" i="49"/>
  <c r="R8" i="29"/>
  <c r="Y50" i="29"/>
  <c r="N161" i="24"/>
  <c r="N45" i="24"/>
  <c r="H103" i="49"/>
  <c r="L46" i="31"/>
  <c r="L134" i="18"/>
  <c r="L10" i="43"/>
  <c r="N8" i="39"/>
  <c r="N61" i="39" s="1"/>
  <c r="K4" i="22"/>
  <c r="K8" i="40"/>
  <c r="AF10" i="43"/>
  <c r="L39" i="18"/>
  <c r="S50" i="29"/>
  <c r="N155" i="24"/>
  <c r="AJ10" i="53"/>
  <c r="O8" i="35"/>
  <c r="O104" i="35" s="1"/>
  <c r="M222" i="18"/>
  <c r="R10" i="53"/>
  <c r="X10" i="53" s="1"/>
  <c r="L103" i="18"/>
  <c r="AL10" i="43"/>
  <c r="J7" i="49"/>
  <c r="J91" i="49" s="1"/>
  <c r="M8" i="18"/>
  <c r="M134" i="18" s="1"/>
  <c r="L9" i="44"/>
  <c r="L25" i="44"/>
  <c r="L79" i="18"/>
  <c r="I16" i="44"/>
  <c r="AI8" i="36"/>
  <c r="Y28" i="36"/>
  <c r="Y48" i="36"/>
  <c r="Y49" i="36"/>
  <c r="Y17" i="36"/>
  <c r="Y33" i="36"/>
  <c r="Y58" i="36"/>
  <c r="Y59" i="36"/>
  <c r="Y22" i="36"/>
  <c r="Y38" i="36"/>
  <c r="Y68" i="36"/>
  <c r="Y69" i="36"/>
  <c r="Y27" i="36"/>
  <c r="Y46" i="36"/>
  <c r="Y47" i="36"/>
  <c r="Y16" i="36"/>
  <c r="Y32" i="36"/>
  <c r="Y56" i="36"/>
  <c r="Y57" i="36"/>
  <c r="Y21" i="36"/>
  <c r="Y37" i="36"/>
  <c r="Y66" i="36"/>
  <c r="Y67" i="36"/>
  <c r="Y26" i="36"/>
  <c r="Y44" i="36"/>
  <c r="Y45" i="36"/>
  <c r="Y15" i="36"/>
  <c r="Y31" i="36"/>
  <c r="Y54" i="36"/>
  <c r="Y55" i="36"/>
  <c r="Y20" i="36"/>
  <c r="Y36" i="36"/>
  <c r="Y64" i="36"/>
  <c r="Y65" i="36"/>
  <c r="Y25" i="36"/>
  <c r="Y42" i="36"/>
  <c r="Y43" i="36"/>
  <c r="Y14" i="36"/>
  <c r="Y30" i="36"/>
  <c r="Y52" i="36"/>
  <c r="Y53" i="36"/>
  <c r="Y19" i="36"/>
  <c r="Y35" i="36"/>
  <c r="Y62" i="36"/>
  <c r="Y63" i="36"/>
  <c r="Y24" i="36"/>
  <c r="Y40" i="36"/>
  <c r="Y41" i="36"/>
  <c r="N8" i="37"/>
  <c r="Y29" i="36"/>
  <c r="Y50" i="36"/>
  <c r="Y51" i="36"/>
  <c r="Y18" i="36"/>
  <c r="Y34" i="36"/>
  <c r="Y60" i="36"/>
  <c r="Y61" i="36"/>
  <c r="Y23" i="36"/>
  <c r="Y39" i="36"/>
  <c r="Y70" i="36"/>
  <c r="AF34" i="36"/>
  <c r="AF66" i="36"/>
  <c r="AF41" i="36"/>
  <c r="AF22" i="36"/>
  <c r="AF29" i="36"/>
  <c r="AF46" i="36"/>
  <c r="AF53" i="36"/>
  <c r="AF32" i="36"/>
  <c r="AF64" i="36"/>
  <c r="AF39" i="36"/>
  <c r="AF20" i="36"/>
  <c r="AF52" i="36"/>
  <c r="AF27" i="36"/>
  <c r="AF59" i="36"/>
  <c r="AF16" i="36"/>
  <c r="AF42" i="36"/>
  <c r="AF17" i="36"/>
  <c r="AF49" i="36"/>
  <c r="AF38" i="36"/>
  <c r="AF45" i="36"/>
  <c r="AF62" i="36"/>
  <c r="AF69" i="36"/>
  <c r="AF40" i="36"/>
  <c r="AF15" i="36"/>
  <c r="AF47" i="36"/>
  <c r="AF28" i="36"/>
  <c r="AF60" i="36"/>
  <c r="AF35" i="36"/>
  <c r="AF67" i="36"/>
  <c r="AF18" i="36"/>
  <c r="AF50" i="36"/>
  <c r="AF25" i="36"/>
  <c r="AF57" i="36"/>
  <c r="AF54" i="36"/>
  <c r="AF61" i="36"/>
  <c r="AF21" i="36"/>
  <c r="AF14" i="36"/>
  <c r="AF48" i="36"/>
  <c r="AF23" i="36"/>
  <c r="AF55" i="36"/>
  <c r="AF36" i="36"/>
  <c r="AF68" i="36"/>
  <c r="AF43" i="36"/>
  <c r="AF26" i="36"/>
  <c r="AF58" i="36"/>
  <c r="AF33" i="36"/>
  <c r="AF65" i="36"/>
  <c r="AF70" i="36"/>
  <c r="AF30" i="36"/>
  <c r="AF37" i="36"/>
  <c r="AF24" i="36"/>
  <c r="AF56" i="36"/>
  <c r="AF31" i="36"/>
  <c r="AF63" i="36"/>
  <c r="AF44" i="36"/>
  <c r="AF19" i="36"/>
  <c r="AF51" i="36"/>
  <c r="AC12" i="36"/>
  <c r="H22" i="37"/>
  <c r="H25" i="37" s="1"/>
  <c r="G36" i="40" s="1"/>
  <c r="G40" i="40" s="1"/>
  <c r="K31" i="37"/>
  <c r="V12" i="36"/>
  <c r="M20" i="24"/>
  <c r="L31" i="24"/>
  <c r="H34" i="37"/>
  <c r="G19" i="40" s="1"/>
  <c r="L110" i="35"/>
  <c r="L114" i="35" s="1"/>
  <c r="Q19" i="43"/>
  <c r="K19" i="43"/>
  <c r="K34" i="43"/>
  <c r="Q34" i="43"/>
  <c r="K27" i="43"/>
  <c r="Q27" i="43"/>
  <c r="Q26" i="43"/>
  <c r="K26" i="43"/>
  <c r="K31" i="43"/>
  <c r="Q31" i="43"/>
  <c r="Q22" i="43"/>
  <c r="K22" i="43"/>
  <c r="K18" i="43"/>
  <c r="Q18" i="43"/>
  <c r="Q32" i="43"/>
  <c r="K32" i="43"/>
  <c r="Q25" i="43"/>
  <c r="K25" i="43"/>
  <c r="K33" i="43"/>
  <c r="Q33" i="43"/>
  <c r="Q29" i="43"/>
  <c r="K29" i="43"/>
  <c r="K36" i="43"/>
  <c r="Q36" i="43"/>
  <c r="Q30" i="43"/>
  <c r="K30" i="43"/>
  <c r="K15" i="43"/>
  <c r="Q15" i="43"/>
  <c r="K28" i="43"/>
  <c r="Q28" i="43"/>
  <c r="Q20" i="43"/>
  <c r="K20" i="43"/>
  <c r="Q17" i="43"/>
  <c r="K17" i="43"/>
  <c r="K24" i="43"/>
  <c r="Q24" i="43"/>
  <c r="K16" i="43"/>
  <c r="Q16" i="43"/>
  <c r="Q35" i="43"/>
  <c r="K35" i="43"/>
  <c r="W141" i="43"/>
  <c r="W12" i="43" s="1"/>
  <c r="X15" i="43"/>
  <c r="Q23" i="43"/>
  <c r="K23" i="43"/>
  <c r="K21" i="43"/>
  <c r="Q21" i="43"/>
  <c r="S48" i="43"/>
  <c r="P86" i="43"/>
  <c r="S132" i="43"/>
  <c r="S130" i="43"/>
  <c r="S110" i="43"/>
  <c r="S80" i="43"/>
  <c r="S92" i="43"/>
  <c r="P98" i="43"/>
  <c r="S56" i="43"/>
  <c r="P78" i="43"/>
  <c r="P70" i="43"/>
  <c r="P43" i="43"/>
  <c r="Q40" i="43"/>
  <c r="P62" i="43"/>
  <c r="P82" i="43"/>
  <c r="P74" i="43"/>
  <c r="P46" i="43"/>
  <c r="P50" i="43"/>
  <c r="P42" i="43"/>
  <c r="P58" i="43"/>
  <c r="S116" i="43"/>
  <c r="P39" i="43"/>
  <c r="S60" i="43"/>
  <c r="S139" i="43"/>
  <c r="P54" i="43"/>
  <c r="P66" i="43"/>
  <c r="P38" i="43"/>
  <c r="P90" i="43"/>
  <c r="P37" i="43"/>
  <c r="S135" i="43"/>
  <c r="S100" i="43"/>
  <c r="S96" i="43"/>
  <c r="P94" i="43"/>
  <c r="R120" i="53"/>
  <c r="R100" i="53"/>
  <c r="R132" i="53"/>
  <c r="P141" i="53"/>
  <c r="P12" i="53" s="1"/>
  <c r="R53" i="53"/>
  <c r="R85" i="53"/>
  <c r="R136" i="53"/>
  <c r="L99" i="53"/>
  <c r="Q99" i="53"/>
  <c r="Q47" i="53"/>
  <c r="L47" i="53"/>
  <c r="R16" i="53"/>
  <c r="Q51" i="53"/>
  <c r="L51" i="53"/>
  <c r="L111" i="53"/>
  <c r="Q111" i="53"/>
  <c r="L35" i="53"/>
  <c r="Q35" i="53"/>
  <c r="L55" i="53"/>
  <c r="Q55" i="53"/>
  <c r="Q79" i="53"/>
  <c r="L79" i="53"/>
  <c r="L19" i="53"/>
  <c r="Q19" i="53"/>
  <c r="R119" i="53"/>
  <c r="R97" i="53"/>
  <c r="L139" i="53"/>
  <c r="Q139" i="53"/>
  <c r="L43" i="53"/>
  <c r="Q43" i="53"/>
  <c r="Q23" i="53"/>
  <c r="L23" i="53"/>
  <c r="R36" i="53"/>
  <c r="Q123" i="53"/>
  <c r="L123" i="53"/>
  <c r="Q83" i="53"/>
  <c r="L83" i="53"/>
  <c r="L115" i="53"/>
  <c r="Q115" i="53"/>
  <c r="L135" i="53"/>
  <c r="Q135" i="53"/>
  <c r="Q39" i="53"/>
  <c r="L39" i="53"/>
  <c r="L27" i="53"/>
  <c r="Q27" i="53"/>
  <c r="Q131" i="53"/>
  <c r="L131" i="53"/>
  <c r="L91" i="53"/>
  <c r="Q91" i="53"/>
  <c r="L87" i="53"/>
  <c r="Q87" i="53"/>
  <c r="R107" i="53"/>
  <c r="L75" i="53"/>
  <c r="Q75" i="53"/>
  <c r="L67" i="53"/>
  <c r="Q67" i="53"/>
  <c r="R108" i="53"/>
  <c r="L63" i="53"/>
  <c r="Q63" i="53"/>
  <c r="Q59" i="53"/>
  <c r="L59" i="53"/>
  <c r="L126" i="53"/>
  <c r="Q126" i="53"/>
  <c r="Q22" i="53"/>
  <c r="L22" i="53"/>
  <c r="L58" i="53"/>
  <c r="Q58" i="53"/>
  <c r="R42" i="53"/>
  <c r="R137" i="53"/>
  <c r="L86" i="53"/>
  <c r="Q86" i="53"/>
  <c r="L26" i="53"/>
  <c r="Q26" i="53"/>
  <c r="L98" i="53"/>
  <c r="Q98" i="53"/>
  <c r="Q134" i="53"/>
  <c r="L134" i="53"/>
  <c r="R101" i="53"/>
  <c r="L15" i="53"/>
  <c r="Q15" i="53"/>
  <c r="Q50" i="53"/>
  <c r="L50" i="53"/>
  <c r="L94" i="53"/>
  <c r="Q94" i="53"/>
  <c r="R31" i="53"/>
  <c r="Q46" i="53"/>
  <c r="L46" i="53"/>
  <c r="Q54" i="53"/>
  <c r="L54" i="53"/>
  <c r="L70" i="53"/>
  <c r="Q70" i="53"/>
  <c r="L30" i="53"/>
  <c r="Q30" i="53"/>
  <c r="L78" i="53"/>
  <c r="Q78" i="53"/>
  <c r="R127" i="53"/>
  <c r="L130" i="53"/>
  <c r="Q130" i="53"/>
  <c r="L118" i="53"/>
  <c r="Q118" i="53"/>
  <c r="L102" i="53"/>
  <c r="Q102" i="53"/>
  <c r="L66" i="53"/>
  <c r="Q66" i="53"/>
  <c r="K141" i="53"/>
  <c r="K12" i="53" s="1"/>
  <c r="L122" i="53"/>
  <c r="Q122" i="53"/>
  <c r="R28" i="53"/>
  <c r="Q38" i="53"/>
  <c r="L38" i="53"/>
  <c r="L82" i="53"/>
  <c r="Q82" i="53"/>
  <c r="R81" i="53"/>
  <c r="R71" i="53"/>
  <c r="Q18" i="53"/>
  <c r="AB141" i="53"/>
  <c r="AB12" i="53" s="1"/>
  <c r="L18" i="53"/>
  <c r="L90" i="53"/>
  <c r="Q90" i="53"/>
  <c r="L114" i="53"/>
  <c r="Q114" i="53"/>
  <c r="L138" i="53"/>
  <c r="Q138" i="53"/>
  <c r="L74" i="53"/>
  <c r="Q74" i="53"/>
  <c r="L62" i="53"/>
  <c r="Q62" i="53"/>
  <c r="L34" i="53"/>
  <c r="Q34" i="53"/>
  <c r="H59" i="38"/>
  <c r="J255" i="18"/>
  <c r="J264" i="18"/>
  <c r="J257" i="18" s="1"/>
  <c r="H327" i="13"/>
  <c r="K39" i="39"/>
  <c r="N34" i="31"/>
  <c r="J102" i="49" s="1"/>
  <c r="K17" i="24"/>
  <c r="K18" i="24" s="1"/>
  <c r="H18" i="38"/>
  <c r="G111" i="49" s="1"/>
  <c r="H35" i="18"/>
  <c r="H231" i="18" s="1"/>
  <c r="K263" i="18"/>
  <c r="K256" i="18" s="1"/>
  <c r="H18" i="44"/>
  <c r="H19" i="44" s="1"/>
  <c r="F111" i="49"/>
  <c r="M35" i="31"/>
  <c r="I100" i="49"/>
  <c r="R14" i="29"/>
  <c r="I64" i="18"/>
  <c r="L266" i="24"/>
  <c r="L21" i="24" s="1"/>
  <c r="M157" i="35" s="1"/>
  <c r="L150" i="24"/>
  <c r="L15" i="24" s="1"/>
  <c r="K174" i="18" s="1"/>
  <c r="O88" i="31"/>
  <c r="O166" i="31"/>
  <c r="O162" i="31"/>
  <c r="O202" i="31"/>
  <c r="O182" i="31"/>
  <c r="O72" i="31"/>
  <c r="O103" i="31"/>
  <c r="N33" i="31"/>
  <c r="J101" i="49" s="1"/>
  <c r="O81" i="31"/>
  <c r="O198" i="31"/>
  <c r="O186" i="31"/>
  <c r="O131" i="31"/>
  <c r="O132" i="31"/>
  <c r="O206" i="31"/>
  <c r="O232" i="31"/>
  <c r="O227" i="31"/>
  <c r="O233" i="31"/>
  <c r="N241" i="31"/>
  <c r="N37" i="31" s="1"/>
  <c r="O218" i="31"/>
  <c r="O221" i="31"/>
  <c r="O178" i="31"/>
  <c r="O226" i="31"/>
  <c r="O216" i="31"/>
  <c r="N32" i="31"/>
  <c r="J100" i="49" s="1"/>
  <c r="N16" i="35"/>
  <c r="R25" i="29" s="1"/>
  <c r="R27" i="29" s="1"/>
  <c r="K72" i="47"/>
  <c r="K74" i="47" s="1"/>
  <c r="K87" i="47" s="1"/>
  <c r="I74" i="47"/>
  <c r="I87" i="47" s="1"/>
  <c r="F326" i="13"/>
  <c r="E326" i="13"/>
  <c r="J175" i="13"/>
  <c r="AB175" i="13" s="1"/>
  <c r="AK175" i="13"/>
  <c r="AL175" i="13" s="1"/>
  <c r="G207" i="13"/>
  <c r="G13" i="37"/>
  <c r="G16" i="37" s="1"/>
  <c r="AF125" i="13"/>
  <c r="AF148" i="13"/>
  <c r="AF129" i="13"/>
  <c r="AF144" i="13"/>
  <c r="S144" i="13" s="1"/>
  <c r="AF162" i="13"/>
  <c r="AF160" i="13"/>
  <c r="S158" i="29"/>
  <c r="S54" i="29" s="1"/>
  <c r="AF152" i="13"/>
  <c r="AF155" i="13"/>
  <c r="AF116" i="13"/>
  <c r="AF158" i="13"/>
  <c r="AF115" i="13"/>
  <c r="S115" i="13" s="1"/>
  <c r="AF149" i="13"/>
  <c r="AF145" i="13"/>
  <c r="AF156" i="13"/>
  <c r="AF122" i="13"/>
  <c r="AF118" i="13"/>
  <c r="S118" i="13" s="1"/>
  <c r="U118" i="13" s="1"/>
  <c r="AJ189" i="13"/>
  <c r="AJ214" i="13"/>
  <c r="AD190" i="13"/>
  <c r="AE190" i="13"/>
  <c r="AJ224" i="13"/>
  <c r="AJ252" i="13"/>
  <c r="AJ208" i="13"/>
  <c r="AJ212" i="13"/>
  <c r="AJ226" i="13"/>
  <c r="AD154" i="13"/>
  <c r="AE154" i="13"/>
  <c r="AD192" i="13"/>
  <c r="AE192" i="13"/>
  <c r="AD184" i="13"/>
  <c r="AE184" i="13"/>
  <c r="AE157" i="13"/>
  <c r="AD157" i="13"/>
  <c r="AD194" i="13"/>
  <c r="AE194" i="13"/>
  <c r="AD176" i="13"/>
  <c r="AE176" i="13"/>
  <c r="AE187" i="13"/>
  <c r="AD187" i="13"/>
  <c r="AJ185" i="13"/>
  <c r="AJ219" i="13"/>
  <c r="AJ223" i="13"/>
  <c r="AJ193" i="13"/>
  <c r="AJ209" i="13"/>
  <c r="AJ178" i="13"/>
  <c r="T179" i="13"/>
  <c r="AJ179" i="13"/>
  <c r="AE191" i="13"/>
  <c r="AD191" i="13"/>
  <c r="AJ222" i="13"/>
  <c r="AJ215" i="13"/>
  <c r="AJ216" i="13"/>
  <c r="AJ186" i="13"/>
  <c r="AJ213" i="13"/>
  <c r="AE161" i="13"/>
  <c r="AD161" i="13"/>
  <c r="AF114" i="13"/>
  <c r="S114" i="13" s="1"/>
  <c r="AF121" i="13"/>
  <c r="AF159" i="13"/>
  <c r="AE181" i="13"/>
  <c r="AD181" i="13"/>
  <c r="AJ220" i="13"/>
  <c r="AD188" i="13"/>
  <c r="AE188" i="13"/>
  <c r="AE183" i="13"/>
  <c r="AD183" i="13"/>
  <c r="AE153" i="13"/>
  <c r="AD153" i="13"/>
  <c r="AE147" i="13"/>
  <c r="AD147" i="13"/>
  <c r="AD180" i="13"/>
  <c r="AE180" i="13"/>
  <c r="AE177" i="13"/>
  <c r="AD177" i="13"/>
  <c r="S53" i="29"/>
  <c r="M53" i="29"/>
  <c r="M158" i="29"/>
  <c r="M54" i="29" s="1"/>
  <c r="T111" i="13"/>
  <c r="T131" i="13" s="1"/>
  <c r="AB131" i="13"/>
  <c r="S35" i="13"/>
  <c r="G324" i="13" s="1"/>
  <c r="AD111" i="13"/>
  <c r="AE111" i="13"/>
  <c r="R111" i="13" s="1"/>
  <c r="AE143" i="13"/>
  <c r="R143" i="13" s="1"/>
  <c r="AD143" i="13"/>
  <c r="T143" i="13"/>
  <c r="R99" i="13"/>
  <c r="P175" i="13"/>
  <c r="AH175" i="13"/>
  <c r="K239" i="13"/>
  <c r="O207" i="13"/>
  <c r="I207" i="13"/>
  <c r="AJ175" i="13"/>
  <c r="I258" i="13"/>
  <c r="I225" i="13"/>
  <c r="E243" i="13"/>
  <c r="K247" i="13"/>
  <c r="I210" i="13"/>
  <c r="G243" i="13"/>
  <c r="AK243" i="13" s="1"/>
  <c r="AL243" i="13" s="1"/>
  <c r="I245" i="13"/>
  <c r="I211" i="13"/>
  <c r="J211" i="13" s="1"/>
  <c r="AB211" i="13" s="1"/>
  <c r="E210" i="13"/>
  <c r="I255" i="13"/>
  <c r="E244" i="13"/>
  <c r="J244" i="13" s="1"/>
  <c r="G258" i="13"/>
  <c r="G285" i="13"/>
  <c r="K254" i="13"/>
  <c r="E250" i="13"/>
  <c r="E245" i="13"/>
  <c r="E240" i="13"/>
  <c r="E246" i="13"/>
  <c r="E253" i="13"/>
  <c r="J86" i="43"/>
  <c r="I240" i="13"/>
  <c r="J62" i="43"/>
  <c r="R69" i="53"/>
  <c r="J78" i="43"/>
  <c r="AK15" i="43"/>
  <c r="AJ141" i="43"/>
  <c r="AJ12" i="43" s="1"/>
  <c r="J90" i="43"/>
  <c r="R103" i="53"/>
  <c r="R95" i="53"/>
  <c r="J98" i="43"/>
  <c r="R125" i="53"/>
  <c r="E254" i="13"/>
  <c r="J54" i="43"/>
  <c r="J82" i="43"/>
  <c r="I247" i="13"/>
  <c r="J58" i="43"/>
  <c r="I246" i="13"/>
  <c r="J205" i="18"/>
  <c r="J247" i="18" s="1"/>
  <c r="J39" i="43"/>
  <c r="J74" i="43"/>
  <c r="J50" i="43"/>
  <c r="J42" i="43"/>
  <c r="I218" i="13"/>
  <c r="J70" i="43"/>
  <c r="J94" i="43"/>
  <c r="W15" i="53"/>
  <c r="V141" i="53"/>
  <c r="V12" i="53" s="1"/>
  <c r="K40" i="43"/>
  <c r="J66" i="43"/>
  <c r="J38" i="43"/>
  <c r="J46" i="43"/>
  <c r="I248" i="13"/>
  <c r="J37" i="43"/>
  <c r="I141" i="43"/>
  <c r="I12" i="43" s="1"/>
  <c r="I244" i="13"/>
  <c r="AB244" i="13" s="1"/>
  <c r="R37" i="53"/>
  <c r="J43" i="43"/>
  <c r="M79" i="18"/>
  <c r="I41" i="39"/>
  <c r="F28" i="40" s="1"/>
  <c r="L22" i="37"/>
  <c r="L25" i="37" s="1"/>
  <c r="K36" i="40" s="1"/>
  <c r="L34" i="37"/>
  <c r="K19" i="40" s="1"/>
  <c r="M114" i="35"/>
  <c r="AG12" i="36"/>
  <c r="M31" i="37"/>
  <c r="X12" i="36"/>
  <c r="AH14" i="36"/>
  <c r="AH16" i="36"/>
  <c r="AH17" i="36"/>
  <c r="AH19" i="36"/>
  <c r="AH21" i="36"/>
  <c r="AH23" i="36"/>
  <c r="AH25" i="36"/>
  <c r="AH27" i="36"/>
  <c r="AH29" i="36"/>
  <c r="AH31" i="36"/>
  <c r="AH33" i="36"/>
  <c r="AH35" i="36"/>
  <c r="AH37" i="36"/>
  <c r="AH39" i="36"/>
  <c r="AH41" i="36"/>
  <c r="AH43" i="36"/>
  <c r="AH45" i="36"/>
  <c r="AH47" i="36"/>
  <c r="AH49" i="36"/>
  <c r="AH51" i="36"/>
  <c r="AH53" i="36"/>
  <c r="AH55" i="36"/>
  <c r="AH57" i="36"/>
  <c r="AH59" i="36"/>
  <c r="AH61" i="36"/>
  <c r="AH63" i="36"/>
  <c r="AH65" i="36"/>
  <c r="AH67" i="36"/>
  <c r="AH69" i="36"/>
  <c r="AH15" i="36"/>
  <c r="AH18" i="36"/>
  <c r="AH22" i="36"/>
  <c r="AH26" i="36"/>
  <c r="AH30" i="36"/>
  <c r="AH34" i="36"/>
  <c r="AH38" i="36"/>
  <c r="AH42" i="36"/>
  <c r="AH46" i="36"/>
  <c r="AH50" i="36"/>
  <c r="AH54" i="36"/>
  <c r="AH58" i="36"/>
  <c r="AH62" i="36"/>
  <c r="AH66" i="36"/>
  <c r="AH70" i="36"/>
  <c r="AH20" i="36"/>
  <c r="AH24" i="36"/>
  <c r="AH28" i="36"/>
  <c r="AH32" i="36"/>
  <c r="AH36" i="36"/>
  <c r="AH40" i="36"/>
  <c r="AH44" i="36"/>
  <c r="AH48" i="36"/>
  <c r="AH52" i="36"/>
  <c r="AH56" i="36"/>
  <c r="AH60" i="36"/>
  <c r="AH64" i="36"/>
  <c r="AH68" i="36"/>
  <c r="J22" i="37"/>
  <c r="J25" i="37" s="1"/>
  <c r="I36" i="40" s="1"/>
  <c r="AE12" i="36"/>
  <c r="J34" i="37"/>
  <c r="I19" i="40" s="1"/>
  <c r="K114" i="35"/>
  <c r="I78" i="38"/>
  <c r="I80" i="38" s="1"/>
  <c r="K34" i="38"/>
  <c r="J78" i="38" s="1"/>
  <c r="J80" i="38" s="1"/>
  <c r="I20" i="49"/>
  <c r="J36" i="38"/>
  <c r="H40" i="40"/>
  <c r="G54" i="49"/>
  <c r="G55" i="49" s="1"/>
  <c r="H25" i="40"/>
  <c r="H26" i="40" s="1"/>
  <c r="M21" i="39"/>
  <c r="J24" i="40" s="1"/>
  <c r="M43" i="39"/>
  <c r="L45" i="39"/>
  <c r="I44" i="40" s="1"/>
  <c r="M14" i="39"/>
  <c r="I37" i="40"/>
  <c r="M19" i="39"/>
  <c r="J22" i="40" s="1"/>
  <c r="M20" i="39"/>
  <c r="J23" i="40" s="1"/>
  <c r="M47" i="39"/>
  <c r="L54" i="39"/>
  <c r="M16" i="39"/>
  <c r="I38" i="40"/>
  <c r="I39" i="37"/>
  <c r="L183" i="35"/>
  <c r="N19" i="48"/>
  <c r="N214" i="48" s="1"/>
  <c r="M19" i="48"/>
  <c r="M214" i="48" s="1"/>
  <c r="J277" i="18"/>
  <c r="N208" i="35"/>
  <c r="N226" i="35"/>
  <c r="N81" i="35"/>
  <c r="I30" i="49"/>
  <c r="I33" i="49" s="1"/>
  <c r="I115" i="49" s="1"/>
  <c r="N134" i="35"/>
  <c r="M94" i="35"/>
  <c r="L227" i="35" s="1"/>
  <c r="H62" i="38" s="1"/>
  <c r="M209" i="35"/>
  <c r="M213" i="35"/>
  <c r="I23" i="38"/>
  <c r="L231" i="35"/>
  <c r="H67" i="38" s="1"/>
  <c r="K227" i="35"/>
  <c r="G62" i="38" s="1"/>
  <c r="J30" i="49"/>
  <c r="J33" i="49" s="1"/>
  <c r="J115" i="49" s="1"/>
  <c r="O134" i="35"/>
  <c r="E278" i="13"/>
  <c r="I251" i="13"/>
  <c r="I241" i="13"/>
  <c r="E286" i="13"/>
  <c r="G282" i="13"/>
  <c r="G241" i="13"/>
  <c r="AK241" i="13" s="1"/>
  <c r="AL241" i="13" s="1"/>
  <c r="G257" i="13"/>
  <c r="K240" i="13"/>
  <c r="G252" i="13"/>
  <c r="K271" i="13"/>
  <c r="E272" i="13"/>
  <c r="I254" i="13"/>
  <c r="I256" i="13"/>
  <c r="I284" i="13"/>
  <c r="E257" i="13"/>
  <c r="E217" i="13"/>
  <c r="G256" i="13"/>
  <c r="G242" i="13"/>
  <c r="AK242" i="13" s="1"/>
  <c r="AL242" i="13" s="1"/>
  <c r="M271" i="18"/>
  <c r="I61" i="38"/>
  <c r="L262" i="18"/>
  <c r="L99" i="18"/>
  <c r="J15" i="38" s="1"/>
  <c r="K124" i="18"/>
  <c r="I18" i="38" s="1"/>
  <c r="H111" i="49" s="1"/>
  <c r="M99" i="18"/>
  <c r="M262" i="18"/>
  <c r="M107" i="18"/>
  <c r="M233" i="18" s="1"/>
  <c r="M226" i="18" s="1"/>
  <c r="L112" i="18"/>
  <c r="L234" i="18" s="1"/>
  <c r="L227" i="18" s="1"/>
  <c r="L271" i="18"/>
  <c r="K262" i="18"/>
  <c r="I221" i="13"/>
  <c r="E223" i="13"/>
  <c r="E216" i="13"/>
  <c r="G222" i="13"/>
  <c r="E209" i="13"/>
  <c r="J209" i="13" s="1"/>
  <c r="AB209" i="13" s="1"/>
  <c r="I217" i="13"/>
  <c r="E219" i="13"/>
  <c r="E220" i="13"/>
  <c r="K225" i="13"/>
  <c r="E215" i="13"/>
  <c r="J215" i="13" s="1"/>
  <c r="E224" i="13"/>
  <c r="S11" i="29"/>
  <c r="M145" i="18" s="1"/>
  <c r="I59" i="18"/>
  <c r="K40" i="1"/>
  <c r="L15" i="18"/>
  <c r="K39" i="1"/>
  <c r="L24" i="1"/>
  <c r="O26" i="31"/>
  <c r="K17" i="18"/>
  <c r="I57" i="18"/>
  <c r="H34" i="49"/>
  <c r="M47" i="31"/>
  <c r="L16" i="24"/>
  <c r="L28" i="18"/>
  <c r="K33" i="18"/>
  <c r="J59" i="18" s="1"/>
  <c r="P20" i="29"/>
  <c r="K41" i="18"/>
  <c r="L63" i="18"/>
  <c r="L41" i="18" s="1"/>
  <c r="K19" i="18"/>
  <c r="P17" i="29"/>
  <c r="P19" i="29" s="1"/>
  <c r="K41" i="37"/>
  <c r="O21" i="29" l="1"/>
  <c r="O22" i="29" s="1"/>
  <c r="O39" i="29"/>
  <c r="L32" i="1"/>
  <c r="L33" i="1"/>
  <c r="Q32" i="29"/>
  <c r="Q34" i="29" s="1"/>
  <c r="Q30" i="29"/>
  <c r="O15" i="35"/>
  <c r="S35" i="29" s="1"/>
  <c r="M103" i="18"/>
  <c r="M26" i="18"/>
  <c r="M39" i="18"/>
  <c r="N188" i="24"/>
  <c r="N72" i="24"/>
  <c r="N60" i="24"/>
  <c r="N176" i="24"/>
  <c r="N58" i="24"/>
  <c r="N174" i="24"/>
  <c r="J265" i="18"/>
  <c r="G40" i="37"/>
  <c r="N199" i="24"/>
  <c r="N83" i="24"/>
  <c r="N73" i="24"/>
  <c r="N189" i="24"/>
  <c r="N169" i="24"/>
  <c r="N53" i="24"/>
  <c r="AF150" i="13"/>
  <c r="S150" i="13" s="1"/>
  <c r="U150" i="13" s="1"/>
  <c r="AF151" i="13"/>
  <c r="S151" i="13" s="1"/>
  <c r="AB163" i="13"/>
  <c r="E328" i="13" s="1"/>
  <c r="S99" i="13"/>
  <c r="G326" i="13" s="1"/>
  <c r="AD182" i="13"/>
  <c r="AE182" i="13"/>
  <c r="R182" i="13" s="1"/>
  <c r="H141" i="18"/>
  <c r="H244" i="18" s="1"/>
  <c r="J245" i="13"/>
  <c r="AB245" i="13" s="1"/>
  <c r="L4" i="22"/>
  <c r="M4" i="22" s="1"/>
  <c r="N204" i="48"/>
  <c r="N216" i="48" s="1"/>
  <c r="N124" i="48"/>
  <c r="N41" i="48"/>
  <c r="N21" i="48"/>
  <c r="N144" i="48"/>
  <c r="N61" i="48"/>
  <c r="N164" i="48"/>
  <c r="N81" i="48"/>
  <c r="N184" i="48"/>
  <c r="N101" i="48"/>
  <c r="H167" i="18"/>
  <c r="I88" i="47"/>
  <c r="H168" i="18" s="1"/>
  <c r="M195" i="18"/>
  <c r="L195" i="18"/>
  <c r="AL195" i="13"/>
  <c r="H329" i="13" s="1"/>
  <c r="AE146" i="13"/>
  <c r="R146" i="13" s="1"/>
  <c r="AD146" i="13"/>
  <c r="R33" i="29"/>
  <c r="N142" i="35"/>
  <c r="N143" i="35" s="1"/>
  <c r="N153" i="35" s="1"/>
  <c r="R18" i="29"/>
  <c r="L146" i="18"/>
  <c r="L147" i="18" s="1"/>
  <c r="L161" i="18" s="1"/>
  <c r="L235" i="18" s="1"/>
  <c r="J214" i="13"/>
  <c r="AB214" i="13" s="1"/>
  <c r="T214" i="13" s="1"/>
  <c r="AB215" i="13"/>
  <c r="T215" i="13" s="1"/>
  <c r="T163" i="13"/>
  <c r="L39" i="39"/>
  <c r="P214" i="13"/>
  <c r="AH214" i="13"/>
  <c r="K245" i="13"/>
  <c r="T213" i="13"/>
  <c r="O213" i="13"/>
  <c r="AK212" i="13"/>
  <c r="AL212" i="13" s="1"/>
  <c r="G244" i="13"/>
  <c r="P180" i="13"/>
  <c r="AH180" i="13"/>
  <c r="O247" i="13"/>
  <c r="U99" i="13"/>
  <c r="I274" i="18" s="1"/>
  <c r="S145" i="13"/>
  <c r="R145" i="13"/>
  <c r="AH179" i="13"/>
  <c r="P179" i="13"/>
  <c r="AH215" i="13"/>
  <c r="P215" i="13"/>
  <c r="U151" i="13"/>
  <c r="AK213" i="13"/>
  <c r="AL213" i="13" s="1"/>
  <c r="G245" i="13"/>
  <c r="AK214" i="13"/>
  <c r="AL214" i="13" s="1"/>
  <c r="G246" i="13"/>
  <c r="AH177" i="13"/>
  <c r="P177" i="13"/>
  <c r="K241" i="13"/>
  <c r="O209" i="13"/>
  <c r="T209" i="13"/>
  <c r="AK215" i="13"/>
  <c r="AL215" i="13" s="1"/>
  <c r="G247" i="13"/>
  <c r="K242" i="13"/>
  <c r="O210" i="13"/>
  <c r="U115" i="13"/>
  <c r="K227" i="13"/>
  <c r="O240" i="13"/>
  <c r="E277" i="13"/>
  <c r="O195" i="13"/>
  <c r="R131" i="13"/>
  <c r="U114" i="13"/>
  <c r="K243" i="13"/>
  <c r="O211" i="13"/>
  <c r="U117" i="13"/>
  <c r="P208" i="13"/>
  <c r="AH208" i="13"/>
  <c r="P178" i="13"/>
  <c r="AH178" i="13"/>
  <c r="U113" i="13"/>
  <c r="R183" i="13"/>
  <c r="AH181" i="13"/>
  <c r="P181" i="13"/>
  <c r="AK208" i="13"/>
  <c r="AL208" i="13" s="1"/>
  <c r="G240" i="13"/>
  <c r="K278" i="13"/>
  <c r="O246" i="13"/>
  <c r="J240" i="13"/>
  <c r="J210" i="13"/>
  <c r="AB210" i="13" s="1"/>
  <c r="T210" i="13" s="1"/>
  <c r="P163" i="13"/>
  <c r="R147" i="13"/>
  <c r="S149" i="13"/>
  <c r="R149" i="13"/>
  <c r="U144" i="13"/>
  <c r="I105" i="49"/>
  <c r="J122" i="49"/>
  <c r="R176" i="13"/>
  <c r="K244" i="13"/>
  <c r="U212" i="13"/>
  <c r="O212" i="13"/>
  <c r="R212" i="13"/>
  <c r="S212" i="13"/>
  <c r="T212" i="13"/>
  <c r="K18" i="35"/>
  <c r="P36" i="29"/>
  <c r="O37" i="29"/>
  <c r="Z52" i="29"/>
  <c r="S26" i="29" s="1"/>
  <c r="O141" i="35" s="1"/>
  <c r="Z53" i="29"/>
  <c r="S29" i="29" s="1"/>
  <c r="O142" i="35" s="1"/>
  <c r="Z158" i="29"/>
  <c r="Z54" i="29" s="1"/>
  <c r="L20" i="18"/>
  <c r="R13" i="29" s="1"/>
  <c r="R15" i="29" s="1"/>
  <c r="N17" i="35"/>
  <c r="R28" i="29" s="1"/>
  <c r="J104" i="49"/>
  <c r="S8" i="29"/>
  <c r="Z50" i="29"/>
  <c r="J64" i="18"/>
  <c r="J42" i="18" s="1"/>
  <c r="N45" i="31"/>
  <c r="J16" i="44"/>
  <c r="L17" i="24"/>
  <c r="L18" i="24" s="1"/>
  <c r="L212" i="35"/>
  <c r="H22" i="38"/>
  <c r="K22" i="37"/>
  <c r="K25" i="37" s="1"/>
  <c r="J36" i="40" s="1"/>
  <c r="AF12" i="36"/>
  <c r="O110" i="35"/>
  <c r="O114" i="35" s="1"/>
  <c r="O212" i="35" s="1"/>
  <c r="K34" i="37"/>
  <c r="J19" i="40" s="1"/>
  <c r="N31" i="37"/>
  <c r="N34" i="37" s="1"/>
  <c r="Y12" i="36"/>
  <c r="N20" i="24"/>
  <c r="N31" i="24" s="1"/>
  <c r="M31" i="24"/>
  <c r="AI21" i="36"/>
  <c r="AI37" i="36"/>
  <c r="AI53" i="36"/>
  <c r="AI69" i="36"/>
  <c r="AI30" i="36"/>
  <c r="AI46" i="36"/>
  <c r="AI62" i="36"/>
  <c r="AI19" i="36"/>
  <c r="AI35" i="36"/>
  <c r="AI51" i="36"/>
  <c r="AI67" i="36"/>
  <c r="AI28" i="36"/>
  <c r="AI44" i="36"/>
  <c r="AI60" i="36"/>
  <c r="AI25" i="36"/>
  <c r="AI41" i="36"/>
  <c r="AI57" i="36"/>
  <c r="AI18" i="36"/>
  <c r="AI34" i="36"/>
  <c r="AI50" i="36"/>
  <c r="AI66" i="36"/>
  <c r="AI23" i="36"/>
  <c r="AI39" i="36"/>
  <c r="AI55" i="36"/>
  <c r="AI15" i="36"/>
  <c r="AI32" i="36"/>
  <c r="AI48" i="36"/>
  <c r="AI64" i="36"/>
  <c r="AI14" i="36"/>
  <c r="AI29" i="36"/>
  <c r="AI45" i="36"/>
  <c r="AI61" i="36"/>
  <c r="AI22" i="36"/>
  <c r="AI38" i="36"/>
  <c r="AI54" i="36"/>
  <c r="AI70" i="36"/>
  <c r="AI27" i="36"/>
  <c r="AI43" i="36"/>
  <c r="AI59" i="36"/>
  <c r="AI20" i="36"/>
  <c r="AI36" i="36"/>
  <c r="AI52" i="36"/>
  <c r="AI68" i="36"/>
  <c r="AI17" i="36"/>
  <c r="AI33" i="36"/>
  <c r="AI49" i="36"/>
  <c r="AI65" i="36"/>
  <c r="AI26" i="36"/>
  <c r="AI42" i="36"/>
  <c r="AI58" i="36"/>
  <c r="AI16" i="36"/>
  <c r="AI31" i="36"/>
  <c r="AI47" i="36"/>
  <c r="AI63" i="36"/>
  <c r="AI24" i="36"/>
  <c r="AI40" i="36"/>
  <c r="AI56" i="36"/>
  <c r="L26" i="43"/>
  <c r="R26" i="43"/>
  <c r="L16" i="43"/>
  <c r="R16" i="43"/>
  <c r="L17" i="43"/>
  <c r="R17" i="43"/>
  <c r="R28" i="43"/>
  <c r="L28" i="43"/>
  <c r="R30" i="43"/>
  <c r="L30" i="43"/>
  <c r="R18" i="43"/>
  <c r="L18" i="43"/>
  <c r="R27" i="43"/>
  <c r="L27" i="43"/>
  <c r="R19" i="43"/>
  <c r="L19" i="43"/>
  <c r="R35" i="43"/>
  <c r="L35" i="43"/>
  <c r="L24" i="43"/>
  <c r="R24" i="43"/>
  <c r="L33" i="43"/>
  <c r="R33" i="43"/>
  <c r="R34" i="43"/>
  <c r="L34" i="43"/>
  <c r="L21" i="43"/>
  <c r="R21" i="43"/>
  <c r="X141" i="43"/>
  <c r="X12" i="43" s="1"/>
  <c r="Y15" i="43"/>
  <c r="L36" i="43"/>
  <c r="R36" i="43"/>
  <c r="R25" i="43"/>
  <c r="L25" i="43"/>
  <c r="R23" i="43"/>
  <c r="L23" i="43"/>
  <c r="L20" i="43"/>
  <c r="R20" i="43"/>
  <c r="R32" i="43"/>
  <c r="L32" i="43"/>
  <c r="R15" i="43"/>
  <c r="L15" i="43"/>
  <c r="R29" i="43"/>
  <c r="L29" i="43"/>
  <c r="L22" i="43"/>
  <c r="R22" i="43"/>
  <c r="R31" i="43"/>
  <c r="L31" i="43"/>
  <c r="Q66" i="43"/>
  <c r="Q82" i="43"/>
  <c r="Q46" i="43"/>
  <c r="Q50" i="43"/>
  <c r="Q39" i="43"/>
  <c r="Q58" i="43"/>
  <c r="Q90" i="43"/>
  <c r="Q86" i="43"/>
  <c r="Q94" i="43"/>
  <c r="Q43" i="43"/>
  <c r="Q38" i="43"/>
  <c r="Q70" i="43"/>
  <c r="Q54" i="43"/>
  <c r="Q37" i="43"/>
  <c r="Q62" i="43"/>
  <c r="R40" i="43"/>
  <c r="Q42" i="43"/>
  <c r="Q74" i="43"/>
  <c r="Q98" i="43"/>
  <c r="Q78" i="43"/>
  <c r="Q141" i="53"/>
  <c r="Q12" i="53" s="1"/>
  <c r="R59" i="53"/>
  <c r="R111" i="53"/>
  <c r="R75" i="53"/>
  <c r="R87" i="53"/>
  <c r="R135" i="53"/>
  <c r="R123" i="53"/>
  <c r="R23" i="53"/>
  <c r="R43" i="53"/>
  <c r="R139" i="53"/>
  <c r="R79" i="53"/>
  <c r="R35" i="53"/>
  <c r="R51" i="53"/>
  <c r="R63" i="53"/>
  <c r="R91" i="53"/>
  <c r="R39" i="53"/>
  <c r="R19" i="53"/>
  <c r="R67" i="53"/>
  <c r="R131" i="53"/>
  <c r="R27" i="53"/>
  <c r="R83" i="53"/>
  <c r="R55" i="53"/>
  <c r="R99" i="53"/>
  <c r="R115" i="53"/>
  <c r="R47" i="53"/>
  <c r="R15" i="53"/>
  <c r="L141" i="53"/>
  <c r="L12" i="53" s="1"/>
  <c r="R34" i="53"/>
  <c r="R138" i="53"/>
  <c r="R114" i="53"/>
  <c r="AC141" i="53"/>
  <c r="AC12" i="53" s="1"/>
  <c r="R18" i="53"/>
  <c r="R82" i="53"/>
  <c r="R122" i="53"/>
  <c r="R102" i="53"/>
  <c r="R70" i="53"/>
  <c r="R94" i="53"/>
  <c r="R62" i="53"/>
  <c r="R54" i="53"/>
  <c r="R134" i="53"/>
  <c r="R58" i="53"/>
  <c r="R66" i="53"/>
  <c r="R50" i="53"/>
  <c r="R86" i="53"/>
  <c r="R22" i="53"/>
  <c r="R126" i="53"/>
  <c r="R74" i="53"/>
  <c r="R90" i="53"/>
  <c r="R38" i="53"/>
  <c r="R118" i="53"/>
  <c r="R130" i="53"/>
  <c r="R78" i="53"/>
  <c r="R30" i="53"/>
  <c r="R46" i="53"/>
  <c r="R98" i="53"/>
  <c r="R26" i="53"/>
  <c r="I59" i="38"/>
  <c r="K255" i="18"/>
  <c r="M255" i="18"/>
  <c r="K59" i="38" s="1"/>
  <c r="J59" i="38"/>
  <c r="L255" i="18"/>
  <c r="M266" i="24"/>
  <c r="M21" i="24" s="1"/>
  <c r="N157" i="35" s="1"/>
  <c r="O33" i="31"/>
  <c r="O34" i="31"/>
  <c r="N44" i="31"/>
  <c r="I65" i="18"/>
  <c r="I268" i="18" s="1"/>
  <c r="J17" i="38"/>
  <c r="L263" i="18"/>
  <c r="L256" i="18" s="1"/>
  <c r="M46" i="31"/>
  <c r="I103" i="49"/>
  <c r="M150" i="24"/>
  <c r="M15" i="24" s="1"/>
  <c r="L174" i="18" s="1"/>
  <c r="N35" i="31"/>
  <c r="O241" i="31"/>
  <c r="O37" i="31" s="1"/>
  <c r="N43" i="31"/>
  <c r="O32" i="31"/>
  <c r="O16" i="35"/>
  <c r="S25" i="29" s="1"/>
  <c r="S27" i="29" s="1"/>
  <c r="J207" i="13"/>
  <c r="AB207" i="13" s="1"/>
  <c r="AK207" i="13"/>
  <c r="AL207" i="13" s="1"/>
  <c r="G239" i="13"/>
  <c r="AB195" i="13"/>
  <c r="F329" i="13" s="1"/>
  <c r="AF191" i="13"/>
  <c r="S14" i="29"/>
  <c r="AF153" i="13"/>
  <c r="AF187" i="13"/>
  <c r="AF194" i="13"/>
  <c r="AF184" i="13"/>
  <c r="AF154" i="13"/>
  <c r="AF147" i="13"/>
  <c r="S147" i="13" s="1"/>
  <c r="AF183" i="13"/>
  <c r="S183" i="13" s="1"/>
  <c r="AF161" i="13"/>
  <c r="AF176" i="13"/>
  <c r="S176" i="13" s="1"/>
  <c r="AF157" i="13"/>
  <c r="AF192" i="13"/>
  <c r="AJ245" i="13"/>
  <c r="AJ258" i="13"/>
  <c r="AE214" i="13"/>
  <c r="AJ221" i="13"/>
  <c r="AJ284" i="13"/>
  <c r="AJ248" i="13"/>
  <c r="AJ246" i="13"/>
  <c r="AJ240" i="13"/>
  <c r="AJ255" i="13"/>
  <c r="AF180" i="13"/>
  <c r="AF188" i="13"/>
  <c r="AF181" i="13"/>
  <c r="AD186" i="13"/>
  <c r="AE186" i="13"/>
  <c r="AE179" i="13"/>
  <c r="AD179" i="13"/>
  <c r="AE209" i="13"/>
  <c r="AD209" i="13"/>
  <c r="AE223" i="13"/>
  <c r="AD223" i="13"/>
  <c r="AE185" i="13"/>
  <c r="AD185" i="13"/>
  <c r="AD226" i="13"/>
  <c r="AE226" i="13"/>
  <c r="AD208" i="13"/>
  <c r="AE208" i="13"/>
  <c r="AD224" i="13"/>
  <c r="AE224" i="13"/>
  <c r="AJ218" i="13"/>
  <c r="AJ256" i="13"/>
  <c r="AJ241" i="13"/>
  <c r="AD222" i="13"/>
  <c r="AE222" i="13"/>
  <c r="AE219" i="13"/>
  <c r="AD219" i="13"/>
  <c r="AE252" i="13"/>
  <c r="AD252" i="13"/>
  <c r="AF190" i="13"/>
  <c r="AJ217" i="13"/>
  <c r="AD220" i="13"/>
  <c r="AE220" i="13"/>
  <c r="AJ254" i="13"/>
  <c r="AJ251" i="13"/>
  <c r="AJ244" i="13"/>
  <c r="AJ247" i="13"/>
  <c r="AJ211" i="13"/>
  <c r="T211" i="13"/>
  <c r="AJ210" i="13"/>
  <c r="AJ225" i="13"/>
  <c r="AF177" i="13"/>
  <c r="AE213" i="13"/>
  <c r="AD213" i="13"/>
  <c r="AD216" i="13"/>
  <c r="AE216" i="13"/>
  <c r="AD178" i="13"/>
  <c r="AE178" i="13"/>
  <c r="AE193" i="13"/>
  <c r="AD193" i="13"/>
  <c r="AD212" i="13"/>
  <c r="AE212" i="13"/>
  <c r="AE189" i="13"/>
  <c r="AD189" i="13"/>
  <c r="E327" i="13"/>
  <c r="F327" i="13"/>
  <c r="AF111" i="13"/>
  <c r="S111" i="13" s="1"/>
  <c r="S131" i="13" s="1"/>
  <c r="G327" i="13" s="1"/>
  <c r="AE175" i="13"/>
  <c r="R175" i="13" s="1"/>
  <c r="AD175" i="13"/>
  <c r="T175" i="13"/>
  <c r="T195" i="13" s="1"/>
  <c r="O227" i="13"/>
  <c r="AH207" i="13"/>
  <c r="P207" i="13"/>
  <c r="P195" i="13"/>
  <c r="I239" i="13"/>
  <c r="AJ207" i="13"/>
  <c r="O271" i="13"/>
  <c r="O239" i="13"/>
  <c r="AF143" i="13"/>
  <c r="S143" i="13" s="1"/>
  <c r="I290" i="13"/>
  <c r="E275" i="13"/>
  <c r="I257" i="13"/>
  <c r="K279" i="13"/>
  <c r="G275" i="13"/>
  <c r="AK275" i="13" s="1"/>
  <c r="AL275" i="13" s="1"/>
  <c r="E282" i="13"/>
  <c r="K286" i="13"/>
  <c r="I287" i="13"/>
  <c r="E242" i="13"/>
  <c r="I243" i="13"/>
  <c r="J243" i="13" s="1"/>
  <c r="AB243" i="13" s="1"/>
  <c r="G290" i="13"/>
  <c r="E276" i="13"/>
  <c r="J276" i="13" s="1"/>
  <c r="I242" i="13"/>
  <c r="E285" i="13"/>
  <c r="I277" i="13"/>
  <c r="E252" i="13"/>
  <c r="E251" i="13"/>
  <c r="E248" i="13"/>
  <c r="K43" i="43"/>
  <c r="W141" i="53"/>
  <c r="W12" i="53" s="1"/>
  <c r="X15" i="53"/>
  <c r="X141" i="53" s="1"/>
  <c r="X12" i="53" s="1"/>
  <c r="K58" i="43"/>
  <c r="I279" i="13"/>
  <c r="K98" i="43"/>
  <c r="I272" i="13"/>
  <c r="E241" i="13"/>
  <c r="J241" i="13" s="1"/>
  <c r="AB241" i="13" s="1"/>
  <c r="K38" i="43"/>
  <c r="K70" i="43"/>
  <c r="K54" i="43"/>
  <c r="AK141" i="43"/>
  <c r="AK12" i="43" s="1"/>
  <c r="AL15" i="43"/>
  <c r="AL141" i="43" s="1"/>
  <c r="AL12" i="43" s="1"/>
  <c r="E247" i="13"/>
  <c r="J247" i="13" s="1"/>
  <c r="AB247" i="13" s="1"/>
  <c r="T247" i="13" s="1"/>
  <c r="K37" i="43"/>
  <c r="J141" i="43"/>
  <c r="J12" i="43" s="1"/>
  <c r="L40" i="43"/>
  <c r="K42" i="43"/>
  <c r="K50" i="43"/>
  <c r="K74" i="43"/>
  <c r="K39" i="43"/>
  <c r="K90" i="43"/>
  <c r="K62" i="43"/>
  <c r="E256" i="13"/>
  <c r="E255" i="13"/>
  <c r="I276" i="13"/>
  <c r="AB276" i="13" s="1"/>
  <c r="I280" i="13"/>
  <c r="K46" i="43"/>
  <c r="K66" i="43"/>
  <c r="K94" i="43"/>
  <c r="I250" i="13"/>
  <c r="I278" i="13"/>
  <c r="K82" i="43"/>
  <c r="K78" i="43"/>
  <c r="K86" i="43"/>
  <c r="J41" i="39"/>
  <c r="G28" i="40" s="1"/>
  <c r="I22" i="38"/>
  <c r="L230" i="35"/>
  <c r="H66" i="38" s="1"/>
  <c r="M212" i="35"/>
  <c r="K230" i="35"/>
  <c r="G66" i="38" s="1"/>
  <c r="K212" i="35"/>
  <c r="G22" i="38"/>
  <c r="J230" i="35"/>
  <c r="F66" i="38" s="1"/>
  <c r="M22" i="37"/>
  <c r="M25" i="37" s="1"/>
  <c r="AH12" i="36"/>
  <c r="N114" i="35"/>
  <c r="M230" i="35" s="1"/>
  <c r="I66" i="38" s="1"/>
  <c r="M34" i="37"/>
  <c r="K78" i="38"/>
  <c r="K80" i="38" s="1"/>
  <c r="K36" i="38"/>
  <c r="J20" i="49"/>
  <c r="I40" i="40"/>
  <c r="I25" i="40"/>
  <c r="I26" i="40" s="1"/>
  <c r="H54" i="49"/>
  <c r="H55" i="49" s="1"/>
  <c r="N16" i="39"/>
  <c r="K38" i="40" s="1"/>
  <c r="J38" i="40"/>
  <c r="N47" i="39"/>
  <c r="N54" i="39" s="1"/>
  <c r="M54" i="39"/>
  <c r="N20" i="39"/>
  <c r="K23" i="40" s="1"/>
  <c r="N19" i="39"/>
  <c r="K22" i="40" s="1"/>
  <c r="N14" i="39"/>
  <c r="K37" i="40" s="1"/>
  <c r="J37" i="40"/>
  <c r="N43" i="39"/>
  <c r="N45" i="39" s="1"/>
  <c r="M45" i="39"/>
  <c r="J44" i="40" s="1"/>
  <c r="N21" i="39"/>
  <c r="K24" i="40" s="1"/>
  <c r="H13" i="37"/>
  <c r="G43" i="37"/>
  <c r="I15" i="39" s="1"/>
  <c r="J12" i="37"/>
  <c r="K205" i="18"/>
  <c r="K247" i="18" s="1"/>
  <c r="M183" i="35"/>
  <c r="K277" i="18"/>
  <c r="N213" i="35"/>
  <c r="N231" i="35"/>
  <c r="J67" i="38" s="1"/>
  <c r="J23" i="38"/>
  <c r="O213" i="35"/>
  <c r="O231" i="35"/>
  <c r="K67" i="38" s="1"/>
  <c r="K23" i="38"/>
  <c r="M231" i="35"/>
  <c r="I67" i="38" s="1"/>
  <c r="N94" i="35"/>
  <c r="N209" i="35"/>
  <c r="O208" i="35"/>
  <c r="O226" i="35"/>
  <c r="O81" i="35"/>
  <c r="E288" i="13"/>
  <c r="E279" i="13"/>
  <c r="K257" i="13"/>
  <c r="G254" i="13"/>
  <c r="I253" i="13"/>
  <c r="G274" i="13"/>
  <c r="AK274" i="13" s="1"/>
  <c r="AL274" i="13" s="1"/>
  <c r="G288" i="13"/>
  <c r="I288" i="13"/>
  <c r="I286" i="13"/>
  <c r="G284" i="13"/>
  <c r="G273" i="13"/>
  <c r="AK273" i="13" s="1"/>
  <c r="AL273" i="13" s="1"/>
  <c r="I273" i="13"/>
  <c r="I283" i="13"/>
  <c r="E283" i="13"/>
  <c r="I249" i="13"/>
  <c r="E249" i="13"/>
  <c r="E289" i="13"/>
  <c r="K272" i="13"/>
  <c r="G289" i="13"/>
  <c r="L124" i="18"/>
  <c r="K264" i="18"/>
  <c r="K257" i="18" s="1"/>
  <c r="J61" i="38"/>
  <c r="M263" i="18"/>
  <c r="M256" i="18" s="1"/>
  <c r="M112" i="18"/>
  <c r="M234" i="18" s="1"/>
  <c r="M227" i="18" s="1"/>
  <c r="K15" i="38"/>
  <c r="P21" i="29"/>
  <c r="J21" i="18" s="1"/>
  <c r="I34" i="49"/>
  <c r="N47" i="31"/>
  <c r="M28" i="18"/>
  <c r="M33" i="18" s="1"/>
  <c r="M59" i="18" s="1"/>
  <c r="L33" i="18"/>
  <c r="K59" i="18" s="1"/>
  <c r="Q20" i="29"/>
  <c r="L40" i="1"/>
  <c r="M15" i="18"/>
  <c r="L39" i="1"/>
  <c r="L19" i="18"/>
  <c r="R10" i="29" s="1"/>
  <c r="R12" i="29" s="1"/>
  <c r="Q10" i="29"/>
  <c r="J57" i="18"/>
  <c r="M16" i="24"/>
  <c r="O27" i="31"/>
  <c r="L17" i="18"/>
  <c r="R20" i="29" s="1"/>
  <c r="L14" i="37"/>
  <c r="O41" i="29" l="1"/>
  <c r="I21" i="18"/>
  <c r="I58" i="18" s="1"/>
  <c r="P39" i="29"/>
  <c r="R32" i="29"/>
  <c r="R34" i="29" s="1"/>
  <c r="R30" i="29"/>
  <c r="Q17" i="29"/>
  <c r="Q19" i="29" s="1"/>
  <c r="Q12" i="29"/>
  <c r="H179" i="18"/>
  <c r="H186" i="18"/>
  <c r="F328" i="13"/>
  <c r="AD214" i="13"/>
  <c r="AF214" i="13" s="1"/>
  <c r="S214" i="13" s="1"/>
  <c r="AF182" i="13"/>
  <c r="S182" i="13" s="1"/>
  <c r="U182" i="13" s="1"/>
  <c r="AE215" i="13"/>
  <c r="R215" i="13" s="1"/>
  <c r="I168" i="18"/>
  <c r="M39" i="39"/>
  <c r="AF146" i="13"/>
  <c r="S146" i="13" s="1"/>
  <c r="U146" i="13" s="1"/>
  <c r="K265" i="18"/>
  <c r="O143" i="35"/>
  <c r="O153" i="35" s="1"/>
  <c r="AD215" i="13"/>
  <c r="S18" i="29"/>
  <c r="M146" i="18"/>
  <c r="M147" i="18" s="1"/>
  <c r="M161" i="18" s="1"/>
  <c r="M265" i="18" s="1"/>
  <c r="J272" i="13"/>
  <c r="AB272" i="13" s="1"/>
  <c r="T272" i="13" s="1"/>
  <c r="AB240" i="13"/>
  <c r="T240" i="13" s="1"/>
  <c r="J246" i="13"/>
  <c r="AB246" i="13" s="1"/>
  <c r="T246" i="13" s="1"/>
  <c r="R163" i="13"/>
  <c r="U183" i="13"/>
  <c r="K274" i="13"/>
  <c r="O242" i="13"/>
  <c r="O272" i="13"/>
  <c r="J279" i="13"/>
  <c r="AB279" i="13" s="1"/>
  <c r="T279" i="13" s="1"/>
  <c r="I141" i="18"/>
  <c r="I244" i="18" s="1"/>
  <c r="P212" i="13"/>
  <c r="AH212" i="13"/>
  <c r="U176" i="13"/>
  <c r="U149" i="13"/>
  <c r="R181" i="13"/>
  <c r="S181" i="13"/>
  <c r="R208" i="13"/>
  <c r="P240" i="13"/>
  <c r="AH240" i="13"/>
  <c r="J105" i="49"/>
  <c r="P210" i="13"/>
  <c r="AH210" i="13"/>
  <c r="AK247" i="13"/>
  <c r="AL247" i="13" s="1"/>
  <c r="G279" i="13"/>
  <c r="AK279" i="13" s="1"/>
  <c r="AL279" i="13" s="1"/>
  <c r="AK246" i="13"/>
  <c r="AL246" i="13" s="1"/>
  <c r="G278" i="13"/>
  <c r="AK278" i="13" s="1"/>
  <c r="AL278" i="13" s="1"/>
  <c r="K277" i="13"/>
  <c r="O245" i="13"/>
  <c r="T245" i="13"/>
  <c r="P246" i="13"/>
  <c r="AH246" i="13"/>
  <c r="R179" i="13"/>
  <c r="J242" i="13"/>
  <c r="AB242" i="13" s="1"/>
  <c r="T242" i="13" s="1"/>
  <c r="O278" i="13"/>
  <c r="K275" i="13"/>
  <c r="O243" i="13"/>
  <c r="O259" i="13" s="1"/>
  <c r="K273" i="13"/>
  <c r="T241" i="13"/>
  <c r="O241" i="13"/>
  <c r="U145" i="13"/>
  <c r="AK244" i="13"/>
  <c r="AL244" i="13" s="1"/>
  <c r="G276" i="13"/>
  <c r="AK276" i="13" s="1"/>
  <c r="AL276" i="13" s="1"/>
  <c r="AH213" i="13"/>
  <c r="P213" i="13"/>
  <c r="O279" i="13"/>
  <c r="AL227" i="13"/>
  <c r="H330" i="13" s="1"/>
  <c r="K276" i="13"/>
  <c r="T244" i="13"/>
  <c r="U244" i="13"/>
  <c r="O244" i="13"/>
  <c r="S244" i="13"/>
  <c r="R244" i="13"/>
  <c r="U147" i="13"/>
  <c r="AK240" i="13"/>
  <c r="AL240" i="13" s="1"/>
  <c r="G272" i="13"/>
  <c r="AK272" i="13" s="1"/>
  <c r="AL272" i="13" s="1"/>
  <c r="R178" i="13"/>
  <c r="AH211" i="13"/>
  <c r="P211" i="13"/>
  <c r="J277" i="13"/>
  <c r="AB277" i="13" s="1"/>
  <c r="P209" i="13"/>
  <c r="AH209" i="13"/>
  <c r="S177" i="13"/>
  <c r="R177" i="13"/>
  <c r="AK245" i="13"/>
  <c r="AL245" i="13" s="1"/>
  <c r="G277" i="13"/>
  <c r="AK277" i="13" s="1"/>
  <c r="AL277" i="13" s="1"/>
  <c r="AH247" i="13"/>
  <c r="P247" i="13"/>
  <c r="R214" i="13"/>
  <c r="K19" i="35"/>
  <c r="K28" i="35" s="1"/>
  <c r="L18" i="35"/>
  <c r="L19" i="35" s="1"/>
  <c r="L28" i="35" s="1"/>
  <c r="P37" i="29"/>
  <c r="Q36" i="29"/>
  <c r="S33" i="29"/>
  <c r="M20" i="18"/>
  <c r="S13" i="29" s="1"/>
  <c r="S15" i="29" s="1"/>
  <c r="O17" i="35"/>
  <c r="O35" i="31"/>
  <c r="O46" i="31" s="1"/>
  <c r="K64" i="18"/>
  <c r="K42" i="18" s="1"/>
  <c r="K22" i="38"/>
  <c r="O230" i="35"/>
  <c r="K66" i="38" s="1"/>
  <c r="N22" i="37"/>
  <c r="N25" i="37" s="1"/>
  <c r="AI12" i="36"/>
  <c r="E329" i="13"/>
  <c r="S31" i="43"/>
  <c r="S22" i="43"/>
  <c r="S20" i="43"/>
  <c r="S36" i="43"/>
  <c r="S33" i="43"/>
  <c r="S35" i="43"/>
  <c r="S30" i="43"/>
  <c r="S28" i="43"/>
  <c r="S17" i="43"/>
  <c r="S19" i="43"/>
  <c r="S29" i="43"/>
  <c r="S15" i="43"/>
  <c r="S25" i="43"/>
  <c r="S21" i="43"/>
  <c r="S18" i="43"/>
  <c r="S32" i="43"/>
  <c r="S34" i="43"/>
  <c r="S24" i="43"/>
  <c r="S16" i="43"/>
  <c r="S23" i="43"/>
  <c r="Y141" i="43"/>
  <c r="Y12" i="43" s="1"/>
  <c r="Z15" i="43"/>
  <c r="Z141" i="43" s="1"/>
  <c r="Z12" i="43" s="1"/>
  <c r="S27" i="43"/>
  <c r="S26" i="43"/>
  <c r="R78" i="43"/>
  <c r="R50" i="43"/>
  <c r="R46" i="43"/>
  <c r="R39" i="43"/>
  <c r="S40" i="43"/>
  <c r="R38" i="43"/>
  <c r="R43" i="43"/>
  <c r="R62" i="43"/>
  <c r="R54" i="43"/>
  <c r="R86" i="43"/>
  <c r="R74" i="43"/>
  <c r="R58" i="43"/>
  <c r="R94" i="43"/>
  <c r="R37" i="43"/>
  <c r="R82" i="43"/>
  <c r="R66" i="43"/>
  <c r="R90" i="43"/>
  <c r="R42" i="43"/>
  <c r="R70" i="43"/>
  <c r="R98" i="43"/>
  <c r="AD141" i="53"/>
  <c r="AD12" i="53" s="1"/>
  <c r="R141" i="53"/>
  <c r="R12" i="53" s="1"/>
  <c r="K17" i="38"/>
  <c r="G114" i="49"/>
  <c r="H114" i="49"/>
  <c r="F114" i="49"/>
  <c r="J114" i="49"/>
  <c r="M17" i="24"/>
  <c r="L64" i="18" s="1"/>
  <c r="K16" i="44"/>
  <c r="N46" i="31"/>
  <c r="J103" i="49"/>
  <c r="J40" i="40"/>
  <c r="N266" i="24"/>
  <c r="N21" i="24" s="1"/>
  <c r="O157" i="35" s="1"/>
  <c r="N150" i="24"/>
  <c r="N15" i="24" s="1"/>
  <c r="M174" i="18" s="1"/>
  <c r="J239" i="13"/>
  <c r="AB239" i="13" s="1"/>
  <c r="AK239" i="13"/>
  <c r="AL239" i="13" s="1"/>
  <c r="G271" i="13"/>
  <c r="AK271" i="13" s="1"/>
  <c r="AL271" i="13" s="1"/>
  <c r="AB227" i="13"/>
  <c r="E330" i="13" s="1"/>
  <c r="AF213" i="13"/>
  <c r="AF220" i="13"/>
  <c r="AF189" i="13"/>
  <c r="AF193" i="13"/>
  <c r="AF216" i="13"/>
  <c r="AF252" i="13"/>
  <c r="AF224" i="13"/>
  <c r="AF226" i="13"/>
  <c r="AJ287" i="13"/>
  <c r="AD218" i="13"/>
  <c r="AE218" i="13"/>
  <c r="AJ283" i="13"/>
  <c r="AJ286" i="13"/>
  <c r="AJ253" i="13"/>
  <c r="AJ278" i="13"/>
  <c r="AJ280" i="13"/>
  <c r="AJ279" i="13"/>
  <c r="AJ277" i="13"/>
  <c r="AD210" i="13"/>
  <c r="AE210" i="13"/>
  <c r="AE247" i="13"/>
  <c r="AD247" i="13"/>
  <c r="AE251" i="13"/>
  <c r="AD251" i="13"/>
  <c r="AF222" i="13"/>
  <c r="AF223" i="13"/>
  <c r="AF179" i="13"/>
  <c r="S179" i="13" s="1"/>
  <c r="AF186" i="13"/>
  <c r="AE248" i="13"/>
  <c r="AD248" i="13"/>
  <c r="AE221" i="13"/>
  <c r="AD221" i="13"/>
  <c r="AE258" i="13"/>
  <c r="AD258" i="13"/>
  <c r="AJ290" i="13"/>
  <c r="AE241" i="13"/>
  <c r="AD241" i="13"/>
  <c r="AJ273" i="13"/>
  <c r="AJ288" i="13"/>
  <c r="AJ250" i="13"/>
  <c r="T243" i="13"/>
  <c r="AJ243" i="13"/>
  <c r="AJ257" i="13"/>
  <c r="AE211" i="13"/>
  <c r="AD211" i="13"/>
  <c r="AE244" i="13"/>
  <c r="AD244" i="13"/>
  <c r="AE256" i="13"/>
  <c r="AD256" i="13"/>
  <c r="AJ249" i="13"/>
  <c r="AJ276" i="13"/>
  <c r="AJ272" i="13"/>
  <c r="AJ242" i="13"/>
  <c r="AF212" i="13"/>
  <c r="AF178" i="13"/>
  <c r="S178" i="13" s="1"/>
  <c r="AE225" i="13"/>
  <c r="AD225" i="13"/>
  <c r="AD254" i="13"/>
  <c r="AE254" i="13"/>
  <c r="AE217" i="13"/>
  <c r="AD217" i="13"/>
  <c r="AF219" i="13"/>
  <c r="AF208" i="13"/>
  <c r="S208" i="13" s="1"/>
  <c r="AF185" i="13"/>
  <c r="AF209" i="13"/>
  <c r="AE255" i="13"/>
  <c r="AD255" i="13"/>
  <c r="AD284" i="13"/>
  <c r="AE284" i="13"/>
  <c r="AE245" i="13"/>
  <c r="AD245" i="13"/>
  <c r="U111" i="13"/>
  <c r="U131" i="13" s="1"/>
  <c r="AD207" i="13"/>
  <c r="AE207" i="13"/>
  <c r="R207" i="13" s="1"/>
  <c r="T207" i="13"/>
  <c r="T227" i="13" s="1"/>
  <c r="AH239" i="13"/>
  <c r="P239" i="13"/>
  <c r="AJ239" i="13"/>
  <c r="I271" i="13"/>
  <c r="U143" i="13"/>
  <c r="P271" i="13"/>
  <c r="AH271" i="13"/>
  <c r="AF175" i="13"/>
  <c r="S175" i="13" s="1"/>
  <c r="E284" i="13"/>
  <c r="I289" i="13"/>
  <c r="E280" i="13"/>
  <c r="I275" i="13"/>
  <c r="J275" i="13" s="1"/>
  <c r="AB275" i="13" s="1"/>
  <c r="I274" i="13"/>
  <c r="E287" i="13"/>
  <c r="E273" i="13"/>
  <c r="J273" i="13" s="1"/>
  <c r="AB273" i="13" s="1"/>
  <c r="E274" i="13"/>
  <c r="L94" i="43"/>
  <c r="L74" i="43"/>
  <c r="L70" i="43"/>
  <c r="L43" i="43"/>
  <c r="L78" i="43"/>
  <c r="L82" i="43"/>
  <c r="I282" i="13"/>
  <c r="L46" i="43"/>
  <c r="L39" i="43"/>
  <c r="L37" i="43"/>
  <c r="K141" i="43"/>
  <c r="K12" i="43" s="1"/>
  <c r="L98" i="43"/>
  <c r="L86" i="43"/>
  <c r="L62" i="43"/>
  <c r="L90" i="43"/>
  <c r="L42" i="43"/>
  <c r="L54" i="43"/>
  <c r="K40" i="40"/>
  <c r="L66" i="43"/>
  <c r="L50" i="43"/>
  <c r="L38" i="43"/>
  <c r="L58" i="43"/>
  <c r="K41" i="39"/>
  <c r="H28" i="40" s="1"/>
  <c r="N230" i="35"/>
  <c r="J66" i="38" s="1"/>
  <c r="J22" i="38"/>
  <c r="I114" i="49" s="1"/>
  <c r="N212" i="35"/>
  <c r="I54" i="49"/>
  <c r="I55" i="49" s="1"/>
  <c r="J25" i="40"/>
  <c r="J26" i="40" s="1"/>
  <c r="K44" i="40"/>
  <c r="K25" i="40"/>
  <c r="K26" i="40" s="1"/>
  <c r="J54" i="49"/>
  <c r="J55" i="49" s="1"/>
  <c r="H40" i="37"/>
  <c r="H16" i="37"/>
  <c r="J39" i="37"/>
  <c r="O183" i="35"/>
  <c r="N183" i="35"/>
  <c r="L277" i="18"/>
  <c r="M277" i="18"/>
  <c r="O209" i="35"/>
  <c r="O94" i="35"/>
  <c r="O227" i="35" s="1"/>
  <c r="J18" i="38"/>
  <c r="I111" i="49" s="1"/>
  <c r="M227" i="35"/>
  <c r="I62" i="38" s="1"/>
  <c r="E281" i="13"/>
  <c r="I281" i="13"/>
  <c r="I285" i="13"/>
  <c r="G286" i="13"/>
  <c r="K289" i="13"/>
  <c r="K259" i="13"/>
  <c r="M124" i="18"/>
  <c r="M264" i="18"/>
  <c r="M257" i="18" s="1"/>
  <c r="K61" i="38"/>
  <c r="L264" i="18"/>
  <c r="L257" i="18" s="1"/>
  <c r="L59" i="18"/>
  <c r="P22" i="29"/>
  <c r="M63" i="18"/>
  <c r="O44" i="31"/>
  <c r="O43" i="31"/>
  <c r="O45" i="31"/>
  <c r="M17" i="18"/>
  <c r="J24" i="18"/>
  <c r="J35" i="18" s="1"/>
  <c r="J231" i="18" s="1"/>
  <c r="J34" i="49"/>
  <c r="O47" i="31"/>
  <c r="K57" i="18"/>
  <c r="R17" i="29"/>
  <c r="R19" i="29" s="1"/>
  <c r="M19" i="18"/>
  <c r="L41" i="37"/>
  <c r="I167" i="18"/>
  <c r="I261" i="18" l="1"/>
  <c r="I254" i="18" s="1"/>
  <c r="I75" i="18"/>
  <c r="I128" i="18" s="1"/>
  <c r="I245" i="18" s="1"/>
  <c r="P41" i="29"/>
  <c r="I24" i="18"/>
  <c r="I35" i="18" s="1"/>
  <c r="I231" i="18" s="1"/>
  <c r="H58" i="18"/>
  <c r="H261" i="18" s="1"/>
  <c r="Q21" i="29"/>
  <c r="Q22" i="29" s="1"/>
  <c r="I186" i="18"/>
  <c r="I179" i="18"/>
  <c r="P227" i="13"/>
  <c r="AF215" i="13"/>
  <c r="S215" i="13" s="1"/>
  <c r="U215" i="13" s="1"/>
  <c r="J168" i="18"/>
  <c r="S163" i="13"/>
  <c r="G328" i="13" s="1"/>
  <c r="N39" i="39"/>
  <c r="L265" i="18"/>
  <c r="M235" i="18"/>
  <c r="U181" i="13"/>
  <c r="U163" i="13"/>
  <c r="K274" i="18" s="1"/>
  <c r="AL259" i="13"/>
  <c r="H331" i="13" s="1"/>
  <c r="AD246" i="13"/>
  <c r="AD240" i="13"/>
  <c r="AE246" i="13"/>
  <c r="R246" i="13" s="1"/>
  <c r="AE240" i="13"/>
  <c r="R240" i="13" s="1"/>
  <c r="U177" i="13"/>
  <c r="J278" i="13"/>
  <c r="AB278" i="13" s="1"/>
  <c r="T278" i="13" s="1"/>
  <c r="R195" i="13"/>
  <c r="AH245" i="13"/>
  <c r="P245" i="13"/>
  <c r="R211" i="13"/>
  <c r="U178" i="13"/>
  <c r="AH241" i="13"/>
  <c r="P241" i="13"/>
  <c r="T275" i="13"/>
  <c r="O275" i="13"/>
  <c r="R210" i="13"/>
  <c r="P243" i="13"/>
  <c r="AH243" i="13"/>
  <c r="J274" i="13"/>
  <c r="AB274" i="13" s="1"/>
  <c r="T274" i="13" s="1"/>
  <c r="S195" i="13"/>
  <c r="G329" i="13" s="1"/>
  <c r="AL291" i="13"/>
  <c r="H332" i="13" s="1"/>
  <c r="R276" i="13"/>
  <c r="S276" i="13"/>
  <c r="U276" i="13"/>
  <c r="O276" i="13"/>
  <c r="T276" i="13"/>
  <c r="P279" i="13"/>
  <c r="AH279" i="13"/>
  <c r="S213" i="13"/>
  <c r="R213" i="13"/>
  <c r="P278" i="13"/>
  <c r="AH278" i="13"/>
  <c r="U179" i="13"/>
  <c r="U208" i="13"/>
  <c r="O274" i="13"/>
  <c r="R247" i="13"/>
  <c r="U214" i="13"/>
  <c r="R209" i="13"/>
  <c r="S209" i="13"/>
  <c r="P244" i="13"/>
  <c r="AH244" i="13"/>
  <c r="T273" i="13"/>
  <c r="O273" i="13"/>
  <c r="T277" i="13"/>
  <c r="O277" i="13"/>
  <c r="P272" i="13"/>
  <c r="AH272" i="13"/>
  <c r="P242" i="13"/>
  <c r="AH242" i="13"/>
  <c r="Q37" i="29"/>
  <c r="M18" i="35"/>
  <c r="M19" i="35" s="1"/>
  <c r="M28" i="35" s="1"/>
  <c r="R21" i="29"/>
  <c r="L21" i="18" s="1"/>
  <c r="L24" i="18" s="1"/>
  <c r="L35" i="18" s="1"/>
  <c r="L231" i="18" s="1"/>
  <c r="R36" i="29"/>
  <c r="N18" i="35" s="1"/>
  <c r="L42" i="18"/>
  <c r="S28" i="29"/>
  <c r="S98" i="43"/>
  <c r="S58" i="43"/>
  <c r="S62" i="43"/>
  <c r="S37" i="43"/>
  <c r="S82" i="43"/>
  <c r="S74" i="43"/>
  <c r="S50" i="43"/>
  <c r="S46" i="43"/>
  <c r="S38" i="43"/>
  <c r="S54" i="43"/>
  <c r="S86" i="43"/>
  <c r="S39" i="43"/>
  <c r="S78" i="43"/>
  <c r="S94" i="43"/>
  <c r="S42" i="43"/>
  <c r="S43" i="43"/>
  <c r="S66" i="43"/>
  <c r="S90" i="43"/>
  <c r="S70" i="43"/>
  <c r="J141" i="18"/>
  <c r="J244" i="18" s="1"/>
  <c r="J274" i="18"/>
  <c r="K18" i="38"/>
  <c r="J111" i="49" s="1"/>
  <c r="K62" i="38"/>
  <c r="M18" i="24"/>
  <c r="F330" i="13"/>
  <c r="J271" i="13"/>
  <c r="AB271" i="13" s="1"/>
  <c r="AF284" i="13"/>
  <c r="AF255" i="13"/>
  <c r="AF217" i="13"/>
  <c r="AF211" i="13"/>
  <c r="S211" i="13" s="1"/>
  <c r="AF241" i="13"/>
  <c r="AF258" i="13"/>
  <c r="AF248" i="13"/>
  <c r="AF251" i="13"/>
  <c r="AF210" i="13"/>
  <c r="S210" i="13" s="1"/>
  <c r="AF218" i="13"/>
  <c r="AF221" i="13"/>
  <c r="AF254" i="13"/>
  <c r="AD242" i="13"/>
  <c r="AE242" i="13"/>
  <c r="AJ281" i="13"/>
  <c r="AF256" i="13"/>
  <c r="AE243" i="13"/>
  <c r="AD243" i="13"/>
  <c r="AD288" i="13"/>
  <c r="AE288" i="13"/>
  <c r="AD279" i="13"/>
  <c r="AE279" i="13"/>
  <c r="AD286" i="13"/>
  <c r="AE286" i="13"/>
  <c r="AJ285" i="13"/>
  <c r="AD276" i="13"/>
  <c r="AE276" i="13"/>
  <c r="AJ289" i="13"/>
  <c r="AF245" i="13"/>
  <c r="AD272" i="13"/>
  <c r="AE272" i="13"/>
  <c r="AE249" i="13"/>
  <c r="AD249" i="13"/>
  <c r="AF244" i="13"/>
  <c r="AF247" i="13"/>
  <c r="S247" i="13" s="1"/>
  <c r="AJ275" i="13"/>
  <c r="AB259" i="13"/>
  <c r="F331" i="13" s="1"/>
  <c r="AJ282" i="13"/>
  <c r="AJ274" i="13"/>
  <c r="AF225" i="13"/>
  <c r="AE257" i="13"/>
  <c r="AD257" i="13"/>
  <c r="AD250" i="13"/>
  <c r="AE250" i="13"/>
  <c r="AE273" i="13"/>
  <c r="AD273" i="13"/>
  <c r="AD290" i="13"/>
  <c r="AE290" i="13"/>
  <c r="AD277" i="13"/>
  <c r="AE277" i="13"/>
  <c r="AD280" i="13"/>
  <c r="AE280" i="13"/>
  <c r="AE253" i="13"/>
  <c r="AD253" i="13"/>
  <c r="AE283" i="13"/>
  <c r="AD283" i="13"/>
  <c r="AD287" i="13"/>
  <c r="AE287" i="13"/>
  <c r="AF207" i="13"/>
  <c r="S207" i="13" s="1"/>
  <c r="AE239" i="13"/>
  <c r="R239" i="13" s="1"/>
  <c r="AD239" i="13"/>
  <c r="T239" i="13"/>
  <c r="T259" i="13" s="1"/>
  <c r="U175" i="13"/>
  <c r="AJ271" i="13"/>
  <c r="M205" i="18"/>
  <c r="M247" i="18" s="1"/>
  <c r="L141" i="43"/>
  <c r="L12" i="43" s="1"/>
  <c r="I13" i="37"/>
  <c r="H43" i="37"/>
  <c r="J15" i="39" s="1"/>
  <c r="F62" i="49" s="1"/>
  <c r="K12" i="37"/>
  <c r="L205" i="18"/>
  <c r="L247" i="18" s="1"/>
  <c r="N227" i="35"/>
  <c r="J62" i="38" s="1"/>
  <c r="K291" i="13"/>
  <c r="M57" i="18"/>
  <c r="S10" i="29"/>
  <c r="L57" i="18"/>
  <c r="S20" i="29"/>
  <c r="N16" i="24"/>
  <c r="N17" i="24" s="1"/>
  <c r="L16" i="44"/>
  <c r="M41" i="18"/>
  <c r="J167" i="18"/>
  <c r="M14" i="37"/>
  <c r="K21" i="18" l="1"/>
  <c r="K24" i="18" s="1"/>
  <c r="K35" i="18" s="1"/>
  <c r="K231" i="18" s="1"/>
  <c r="Q41" i="29"/>
  <c r="Q39" i="29"/>
  <c r="R39" i="29"/>
  <c r="S32" i="29"/>
  <c r="S34" i="29" s="1"/>
  <c r="S36" i="29" s="1"/>
  <c r="O18" i="35" s="1"/>
  <c r="S30" i="29"/>
  <c r="S17" i="29"/>
  <c r="S19" i="29" s="1"/>
  <c r="S12" i="29"/>
  <c r="K168" i="18"/>
  <c r="K179" i="18" s="1"/>
  <c r="J179" i="18"/>
  <c r="J186" i="18"/>
  <c r="R22" i="29"/>
  <c r="AD278" i="13"/>
  <c r="AF246" i="13"/>
  <c r="S246" i="13" s="1"/>
  <c r="U246" i="13" s="1"/>
  <c r="K141" i="18"/>
  <c r="K244" i="18" s="1"/>
  <c r="R227" i="13"/>
  <c r="AE278" i="13"/>
  <c r="R278" i="13" s="1"/>
  <c r="AF240" i="13"/>
  <c r="S240" i="13" s="1"/>
  <c r="U240" i="13" s="1"/>
  <c r="U209" i="13"/>
  <c r="U247" i="13"/>
  <c r="U210" i="13"/>
  <c r="AH277" i="13"/>
  <c r="P277" i="13"/>
  <c r="U195" i="13"/>
  <c r="L141" i="18" s="1"/>
  <c r="L244" i="18" s="1"/>
  <c r="S227" i="13"/>
  <c r="G330" i="13" s="1"/>
  <c r="R242" i="13"/>
  <c r="P274" i="13"/>
  <c r="AH274" i="13"/>
  <c r="R279" i="13"/>
  <c r="S241" i="13"/>
  <c r="R241" i="13"/>
  <c r="R245" i="13"/>
  <c r="S245" i="13"/>
  <c r="R272" i="13"/>
  <c r="AH273" i="13"/>
  <c r="P273" i="13"/>
  <c r="O291" i="13"/>
  <c r="P276" i="13"/>
  <c r="AH276" i="13"/>
  <c r="R243" i="13"/>
  <c r="P259" i="13"/>
  <c r="U213" i="13"/>
  <c r="AH275" i="13"/>
  <c r="P275" i="13"/>
  <c r="U211" i="13"/>
  <c r="N19" i="35"/>
  <c r="N28" i="35" s="1"/>
  <c r="R37" i="29"/>
  <c r="F25" i="49"/>
  <c r="G25" i="49"/>
  <c r="E331" i="13"/>
  <c r="AF249" i="13"/>
  <c r="AF276" i="13"/>
  <c r="AF286" i="13"/>
  <c r="AF279" i="13"/>
  <c r="S279" i="13" s="1"/>
  <c r="AF243" i="13"/>
  <c r="S243" i="13" s="1"/>
  <c r="AB291" i="13"/>
  <c r="E332" i="13" s="1"/>
  <c r="AF287" i="13"/>
  <c r="AF253" i="13"/>
  <c r="AF277" i="13"/>
  <c r="AF273" i="13"/>
  <c r="AF257" i="13"/>
  <c r="AE289" i="13"/>
  <c r="AD289" i="13"/>
  <c r="AD275" i="13"/>
  <c r="AE275" i="13"/>
  <c r="AE281" i="13"/>
  <c r="AD281" i="13"/>
  <c r="AD285" i="13"/>
  <c r="AE285" i="13"/>
  <c r="AF283" i="13"/>
  <c r="AF280" i="13"/>
  <c r="AF290" i="13"/>
  <c r="AF250" i="13"/>
  <c r="AD282" i="13"/>
  <c r="AE282" i="13"/>
  <c r="AF242" i="13"/>
  <c r="S242" i="13" s="1"/>
  <c r="AD274" i="13"/>
  <c r="AE274" i="13"/>
  <c r="AF272" i="13"/>
  <c r="S272" i="13" s="1"/>
  <c r="AF288" i="13"/>
  <c r="U207" i="13"/>
  <c r="AE271" i="13"/>
  <c r="AD271" i="13"/>
  <c r="T271" i="13"/>
  <c r="T291" i="13" s="1"/>
  <c r="AF239" i="13"/>
  <c r="S239" i="13" s="1"/>
  <c r="L41" i="39"/>
  <c r="I28" i="40" s="1"/>
  <c r="J58" i="18"/>
  <c r="J261" i="18" s="1"/>
  <c r="H17" i="39"/>
  <c r="I40" i="37"/>
  <c r="I16" i="37"/>
  <c r="K39" i="37"/>
  <c r="M64" i="18"/>
  <c r="M42" i="18" s="1"/>
  <c r="N18" i="24"/>
  <c r="K167" i="18"/>
  <c r="M41" i="37"/>
  <c r="N41" i="39"/>
  <c r="M41" i="39"/>
  <c r="K58" i="18" l="1"/>
  <c r="K261" i="18" s="1"/>
  <c r="S21" i="29"/>
  <c r="S39" i="29" s="1"/>
  <c r="L168" i="18"/>
  <c r="L179" i="18" s="1"/>
  <c r="K186" i="18"/>
  <c r="R41" i="29"/>
  <c r="AF278" i="13"/>
  <c r="S278" i="13" s="1"/>
  <c r="U278" i="13" s="1"/>
  <c r="U245" i="13"/>
  <c r="U241" i="13"/>
  <c r="R274" i="13"/>
  <c r="S259" i="13"/>
  <c r="G331" i="13" s="1"/>
  <c r="L274" i="18"/>
  <c r="R275" i="13"/>
  <c r="U272" i="13"/>
  <c r="U242" i="13"/>
  <c r="R259" i="13"/>
  <c r="U227" i="13"/>
  <c r="M274" i="18" s="1"/>
  <c r="U243" i="13"/>
  <c r="R273" i="13"/>
  <c r="S273" i="13"/>
  <c r="U279" i="13"/>
  <c r="R277" i="13"/>
  <c r="S277" i="13"/>
  <c r="P291" i="13"/>
  <c r="O19" i="35"/>
  <c r="O28" i="35" s="1"/>
  <c r="S37" i="29"/>
  <c r="G26" i="49"/>
  <c r="G80" i="49" s="1"/>
  <c r="G88" i="49"/>
  <c r="F88" i="49"/>
  <c r="F26" i="49"/>
  <c r="F80" i="49" s="1"/>
  <c r="F332" i="13"/>
  <c r="AF285" i="13"/>
  <c r="AF275" i="13"/>
  <c r="S275" i="13" s="1"/>
  <c r="AF282" i="13"/>
  <c r="AF281" i="13"/>
  <c r="AF289" i="13"/>
  <c r="AF274" i="13"/>
  <c r="S274" i="13" s="1"/>
  <c r="U239" i="13"/>
  <c r="AF271" i="13"/>
  <c r="S271" i="13" s="1"/>
  <c r="R271" i="13"/>
  <c r="J28" i="40"/>
  <c r="J13" i="37"/>
  <c r="I43" i="37"/>
  <c r="K15" i="39" s="1"/>
  <c r="G62" i="49" s="1"/>
  <c r="L12" i="37"/>
  <c r="K28" i="40"/>
  <c r="N14" i="37"/>
  <c r="L167" i="18"/>
  <c r="L186" i="18" s="1"/>
  <c r="S22" i="29" l="1"/>
  <c r="S41" i="29" s="1"/>
  <c r="M21" i="18"/>
  <c r="M24" i="18" s="1"/>
  <c r="M168" i="18"/>
  <c r="M179" i="18" s="1"/>
  <c r="M141" i="18"/>
  <c r="M244" i="18" s="1"/>
  <c r="U259" i="13"/>
  <c r="S291" i="13"/>
  <c r="G332" i="13" s="1"/>
  <c r="U275" i="13"/>
  <c r="U274" i="13"/>
  <c r="U273" i="13"/>
  <c r="U277" i="13"/>
  <c r="G27" i="49"/>
  <c r="F113" i="49"/>
  <c r="F106" i="49"/>
  <c r="G106" i="49"/>
  <c r="F27" i="49"/>
  <c r="G113" i="49"/>
  <c r="R291" i="13"/>
  <c r="U271" i="13"/>
  <c r="H25" i="49"/>
  <c r="H88" i="49" s="1"/>
  <c r="I17" i="39"/>
  <c r="J40" i="37"/>
  <c r="J16" i="37"/>
  <c r="L39" i="37"/>
  <c r="M167" i="18"/>
  <c r="M186" i="18" s="1"/>
  <c r="N41" i="37"/>
  <c r="L58" i="18" l="1"/>
  <c r="L261" i="18" s="1"/>
  <c r="M58" i="18"/>
  <c r="M261" i="18" s="1"/>
  <c r="U291" i="13"/>
  <c r="M35" i="18"/>
  <c r="M231" i="18" s="1"/>
  <c r="H26" i="49"/>
  <c r="H80" i="49" s="1"/>
  <c r="I25" i="49"/>
  <c r="I88" i="49" s="1"/>
  <c r="J25" i="49"/>
  <c r="J26" i="49" s="1"/>
  <c r="J80" i="49" s="1"/>
  <c r="K13" i="37"/>
  <c r="J43" i="37"/>
  <c r="L15" i="39" s="1"/>
  <c r="H62" i="49" s="1"/>
  <c r="M12" i="37"/>
  <c r="J113" i="49" l="1"/>
  <c r="J106" i="49"/>
  <c r="H27" i="49"/>
  <c r="H106" i="49"/>
  <c r="H113" i="49"/>
  <c r="I26" i="49"/>
  <c r="I80" i="49" s="1"/>
  <c r="J27" i="49"/>
  <c r="J88" i="49"/>
  <c r="J17" i="39"/>
  <c r="K40" i="37"/>
  <c r="K16" i="37"/>
  <c r="M39" i="37"/>
  <c r="I27" i="49" l="1"/>
  <c r="I113" i="49"/>
  <c r="I106" i="49"/>
  <c r="L13" i="37"/>
  <c r="K43" i="37"/>
  <c r="M15" i="39" s="1"/>
  <c r="I62" i="49" s="1"/>
  <c r="N12" i="37"/>
  <c r="K17" i="39" l="1"/>
  <c r="L40" i="37"/>
  <c r="L16" i="37"/>
  <c r="N39" i="37"/>
  <c r="M13" i="37" l="1"/>
  <c r="L43" i="37"/>
  <c r="N15" i="39" s="1"/>
  <c r="J62" i="49" s="1"/>
  <c r="M40" i="37" l="1"/>
  <c r="M16" i="37"/>
  <c r="L17" i="39"/>
  <c r="N13" i="37" l="1"/>
  <c r="M43" i="37"/>
  <c r="M17" i="39" l="1"/>
  <c r="N40" i="37"/>
  <c r="N43" i="37" s="1"/>
  <c r="N16" i="37"/>
  <c r="N17" i="39" l="1"/>
  <c r="J17" i="44" l="1"/>
  <c r="J14" i="44" l="1"/>
  <c r="J21" i="44"/>
  <c r="J22" i="44" s="1"/>
  <c r="J18" i="44"/>
  <c r="K17" i="44" l="1"/>
  <c r="K14" i="44"/>
  <c r="L176" i="18"/>
  <c r="L191" i="18" s="1"/>
  <c r="K65" i="18"/>
  <c r="J19" i="44"/>
  <c r="L242" i="18" l="1"/>
  <c r="L228" i="18" s="1"/>
  <c r="L208" i="18"/>
  <c r="K268" i="18"/>
  <c r="K254" i="18" s="1"/>
  <c r="K75" i="18"/>
  <c r="K21" i="44"/>
  <c r="K22" i="44" s="1"/>
  <c r="K18" i="44"/>
  <c r="I17" i="44"/>
  <c r="J176" i="18"/>
  <c r="J191" i="18" s="1"/>
  <c r="J208" i="18" s="1"/>
  <c r="G79" i="49" s="1"/>
  <c r="I14" i="44"/>
  <c r="K176" i="18"/>
  <c r="K191" i="18" s="1"/>
  <c r="L246" i="18" l="1"/>
  <c r="J21" i="38" s="1"/>
  <c r="I79" i="49"/>
  <c r="K242" i="18"/>
  <c r="K228" i="18" s="1"/>
  <c r="K208" i="18"/>
  <c r="H79" i="49" s="1"/>
  <c r="J272" i="18"/>
  <c r="J258" i="18" s="1"/>
  <c r="J242" i="18"/>
  <c r="J228" i="18" s="1"/>
  <c r="K272" i="18"/>
  <c r="K258" i="18" s="1"/>
  <c r="I21" i="44"/>
  <c r="I22" i="44" s="1"/>
  <c r="I18" i="44"/>
  <c r="K19" i="44"/>
  <c r="L65" i="18"/>
  <c r="J246" i="18"/>
  <c r="K128" i="18"/>
  <c r="K245" i="18" s="1"/>
  <c r="L14" i="44"/>
  <c r="K246" i="18" l="1"/>
  <c r="I21" i="38" s="1"/>
  <c r="K276" i="18"/>
  <c r="I65" i="38" s="1"/>
  <c r="K213" i="18"/>
  <c r="L43" i="18"/>
  <c r="L52" i="18" s="1"/>
  <c r="L238" i="18" s="1"/>
  <c r="L224" i="18" s="1"/>
  <c r="L268" i="18"/>
  <c r="L254" i="18" s="1"/>
  <c r="L75" i="18"/>
  <c r="H21" i="38"/>
  <c r="J276" i="18"/>
  <c r="H65" i="38" s="1"/>
  <c r="I19" i="44"/>
  <c r="J65" i="18"/>
  <c r="M176" i="18"/>
  <c r="M191" i="18" s="1"/>
  <c r="L17" i="44"/>
  <c r="H34" i="44"/>
  <c r="H35" i="44" s="1"/>
  <c r="K249" i="18" l="1"/>
  <c r="M242" i="18"/>
  <c r="M228" i="18" s="1"/>
  <c r="M208" i="18"/>
  <c r="M272" i="18"/>
  <c r="M258" i="18" s="1"/>
  <c r="L272" i="18"/>
  <c r="L258" i="18" s="1"/>
  <c r="J43" i="18"/>
  <c r="J52" i="18" s="1"/>
  <c r="J238" i="18" s="1"/>
  <c r="J224" i="18" s="1"/>
  <c r="J268" i="18"/>
  <c r="J254" i="18" s="1"/>
  <c r="K43" i="18"/>
  <c r="K52" i="18" s="1"/>
  <c r="K238" i="18" s="1"/>
  <c r="K224" i="18" s="1"/>
  <c r="J75" i="18"/>
  <c r="H76" i="49"/>
  <c r="L73" i="18"/>
  <c r="L128" i="18"/>
  <c r="L245" i="18" s="1"/>
  <c r="L249" i="18" s="1"/>
  <c r="I34" i="44"/>
  <c r="I35" i="44" s="1"/>
  <c r="L18" i="44"/>
  <c r="L21" i="44"/>
  <c r="L22" i="44" s="1"/>
  <c r="K159" i="35"/>
  <c r="K169" i="35" s="1"/>
  <c r="K186" i="35" s="1"/>
  <c r="H27" i="44"/>
  <c r="H30" i="44"/>
  <c r="M276" i="18" l="1"/>
  <c r="K65" i="38" s="1"/>
  <c r="J79" i="49"/>
  <c r="M246" i="18"/>
  <c r="K21" i="38" s="1"/>
  <c r="L276" i="18"/>
  <c r="J65" i="38" s="1"/>
  <c r="L213" i="18"/>
  <c r="K275" i="18"/>
  <c r="K279" i="18" s="1"/>
  <c r="J73" i="18"/>
  <c r="J128" i="18"/>
  <c r="J245" i="18" s="1"/>
  <c r="J249" i="18" s="1"/>
  <c r="K73" i="18"/>
  <c r="L19" i="44"/>
  <c r="M65" i="18"/>
  <c r="K214" i="35"/>
  <c r="K215" i="35" s="1"/>
  <c r="G24" i="38"/>
  <c r="K190" i="35"/>
  <c r="F78" i="49" s="1"/>
  <c r="K34" i="44"/>
  <c r="K35" i="44" s="1"/>
  <c r="I30" i="44"/>
  <c r="I27" i="44"/>
  <c r="L159" i="35"/>
  <c r="L169" i="35" s="1"/>
  <c r="L186" i="35" s="1"/>
  <c r="F116" i="49" l="1"/>
  <c r="I76" i="49"/>
  <c r="J213" i="18"/>
  <c r="J275" i="18"/>
  <c r="J279" i="18" s="1"/>
  <c r="I275" i="18"/>
  <c r="M75" i="18"/>
  <c r="M268" i="18"/>
  <c r="M254" i="18" s="1"/>
  <c r="M43" i="18"/>
  <c r="M52" i="18" s="1"/>
  <c r="M238" i="18" s="1"/>
  <c r="M224" i="18" s="1"/>
  <c r="M159" i="35"/>
  <c r="M169" i="35" s="1"/>
  <c r="M186" i="35" s="1"/>
  <c r="L232" i="35" s="1"/>
  <c r="J34" i="44"/>
  <c r="J35" i="44" s="1"/>
  <c r="J30" i="44"/>
  <c r="J27" i="44"/>
  <c r="L214" i="35"/>
  <c r="L215" i="35" s="1"/>
  <c r="H24" i="38"/>
  <c r="H25" i="38" s="1"/>
  <c r="G19" i="49" s="1"/>
  <c r="G21" i="49" s="1"/>
  <c r="L190" i="35"/>
  <c r="G78" i="49" s="1"/>
  <c r="N159" i="35"/>
  <c r="N169" i="35" s="1"/>
  <c r="N186" i="35" s="1"/>
  <c r="K27" i="44"/>
  <c r="K30" i="44"/>
  <c r="K232" i="35"/>
  <c r="L34" i="44"/>
  <c r="L35" i="44" s="1"/>
  <c r="G116" i="49" l="1"/>
  <c r="G76" i="49"/>
  <c r="G22" i="49"/>
  <c r="M214" i="35"/>
  <c r="M215" i="35" s="1"/>
  <c r="M190" i="35"/>
  <c r="H78" i="49" s="1"/>
  <c r="I24" i="38"/>
  <c r="M73" i="18"/>
  <c r="M128" i="18"/>
  <c r="M245" i="18" s="1"/>
  <c r="M249" i="18" s="1"/>
  <c r="G84" i="49"/>
  <c r="L30" i="44"/>
  <c r="O159" i="35"/>
  <c r="O169" i="35" s="1"/>
  <c r="O186" i="35" s="1"/>
  <c r="L27" i="44"/>
  <c r="J24" i="38"/>
  <c r="N214" i="35"/>
  <c r="N215" i="35" s="1"/>
  <c r="N190" i="35"/>
  <c r="I78" i="49" s="1"/>
  <c r="M232" i="35"/>
  <c r="L233" i="35"/>
  <c r="H68" i="38"/>
  <c r="H69" i="38" s="1"/>
  <c r="G86" i="49"/>
  <c r="G83" i="49"/>
  <c r="G68" i="38"/>
  <c r="K233" i="35"/>
  <c r="J25" i="38" l="1"/>
  <c r="I19" i="49" s="1"/>
  <c r="I21" i="49" s="1"/>
  <c r="I86" i="49" s="1"/>
  <c r="I116" i="49"/>
  <c r="I25" i="38"/>
  <c r="H19" i="49" s="1"/>
  <c r="H21" i="49" s="1"/>
  <c r="H83" i="49" s="1"/>
  <c r="H116" i="49"/>
  <c r="M213" i="18"/>
  <c r="M275" i="18"/>
  <c r="M279" i="18" s="1"/>
  <c r="L275" i="18"/>
  <c r="L279" i="18" s="1"/>
  <c r="O232" i="35"/>
  <c r="O190" i="35"/>
  <c r="J78" i="49" s="1"/>
  <c r="N232" i="35"/>
  <c r="O214" i="35"/>
  <c r="O215" i="35" s="1"/>
  <c r="K24" i="38"/>
  <c r="I68" i="38"/>
  <c r="I69" i="38" s="1"/>
  <c r="M233" i="35"/>
  <c r="I84" i="49" l="1"/>
  <c r="H84" i="49"/>
  <c r="I83" i="49"/>
  <c r="I22" i="49"/>
  <c r="H22" i="49"/>
  <c r="K25" i="38"/>
  <c r="J19" i="49" s="1"/>
  <c r="J21" i="49" s="1"/>
  <c r="J22" i="49" s="1"/>
  <c r="J116" i="49"/>
  <c r="H86" i="49"/>
  <c r="J76" i="49"/>
  <c r="J68" i="38"/>
  <c r="J69" i="38" s="1"/>
  <c r="N233" i="35"/>
  <c r="O233" i="35"/>
  <c r="K68" i="38"/>
  <c r="K69" i="38" s="1"/>
  <c r="J84" i="49" l="1"/>
  <c r="J86" i="49"/>
  <c r="J83" i="49"/>
  <c r="J33" i="35"/>
  <c r="AC127" i="43" l="1"/>
  <c r="AC73" i="43"/>
  <c r="AC114" i="43"/>
  <c r="AC88" i="43"/>
  <c r="AC120" i="43"/>
  <c r="AC125" i="43"/>
  <c r="AC99" i="43"/>
  <c r="AC45" i="43"/>
  <c r="AC89" i="43"/>
  <c r="AC49" i="43"/>
  <c r="AC102" i="43"/>
  <c r="AC52" i="43"/>
  <c r="AC119" i="43"/>
  <c r="AC108" i="43"/>
  <c r="AC68" i="43"/>
  <c r="AC75" i="43"/>
  <c r="AC72" i="43"/>
  <c r="AC115" i="43"/>
  <c r="AC79" i="43"/>
  <c r="AC69" i="43"/>
  <c r="AC122" i="43"/>
  <c r="AC101" i="43"/>
  <c r="AC65" i="43"/>
  <c r="AC138" i="43"/>
  <c r="AC112" i="43"/>
  <c r="AC126" i="43"/>
  <c r="AC87" i="43"/>
  <c r="AC123" i="43"/>
  <c r="AC47" i="43"/>
  <c r="AC117" i="43"/>
  <c r="AC95" i="43"/>
  <c r="AC41" i="43"/>
  <c r="AC133" i="43"/>
  <c r="AC104" i="43"/>
  <c r="AC131" i="43"/>
  <c r="AC109" i="43"/>
  <c r="AC77" i="43"/>
  <c r="AC103" i="43"/>
  <c r="AC76" i="43"/>
  <c r="AC44" i="43"/>
  <c r="AC55" i="43"/>
  <c r="AC61" i="43"/>
  <c r="AC59" i="43"/>
  <c r="AC83" i="43"/>
  <c r="AC113" i="43"/>
  <c r="AC128" i="43"/>
  <c r="AC64" i="43"/>
  <c r="AC105" i="43"/>
  <c r="AC106" i="43"/>
  <c r="AC63" i="43"/>
  <c r="AC136" i="43"/>
  <c r="AC67" i="43"/>
  <c r="AC91" i="43"/>
  <c r="AC137" i="43"/>
  <c r="AC124" i="43"/>
  <c r="AC51" i="43"/>
  <c r="AC57" i="43"/>
  <c r="AC85" i="43"/>
  <c r="AC121" i="43"/>
  <c r="AC81" i="43"/>
  <c r="AC97" i="43"/>
  <c r="AC129" i="43"/>
  <c r="AC84" i="43"/>
  <c r="AC53" i="43"/>
  <c r="AC118" i="43"/>
  <c r="AC107" i="43"/>
  <c r="AC71" i="43"/>
  <c r="AC134" i="43"/>
  <c r="AC111" i="43"/>
  <c r="AC93" i="43"/>
  <c r="AC132" i="43"/>
  <c r="AC135" i="43"/>
  <c r="AC96" i="43"/>
  <c r="AC130" i="43"/>
  <c r="AC116" i="43"/>
  <c r="AC56" i="43"/>
  <c r="AC80" i="43"/>
  <c r="AC110" i="43"/>
  <c r="AC92" i="43"/>
  <c r="AC60" i="43"/>
  <c r="AC48" i="43"/>
  <c r="AC100" i="43"/>
  <c r="AC139" i="43"/>
  <c r="AC32" i="43"/>
  <c r="AC36" i="43"/>
  <c r="AC18" i="43"/>
  <c r="AC19" i="43"/>
  <c r="AC26" i="43"/>
  <c r="AC21" i="43"/>
  <c r="AC27" i="43"/>
  <c r="AC22" i="43"/>
  <c r="AC33" i="43"/>
  <c r="AC30" i="43"/>
  <c r="AC23" i="43"/>
  <c r="AC34" i="43"/>
  <c r="AC29" i="43"/>
  <c r="AC20" i="43"/>
  <c r="AC28" i="43"/>
  <c r="AC15" i="43"/>
  <c r="AC40" i="43"/>
  <c r="AC25" i="43"/>
  <c r="AC24" i="43"/>
  <c r="AC17" i="43"/>
  <c r="AC35" i="43"/>
  <c r="AC16" i="43"/>
  <c r="AC31" i="43"/>
  <c r="AC70" i="43"/>
  <c r="AC82" i="43"/>
  <c r="AC37" i="43"/>
  <c r="AC94" i="43"/>
  <c r="AC46" i="43"/>
  <c r="AC42" i="43"/>
  <c r="AC54" i="43"/>
  <c r="AC38" i="43"/>
  <c r="AC86" i="43"/>
  <c r="AC98" i="43"/>
  <c r="AC78" i="43"/>
  <c r="AC43" i="43"/>
  <c r="AC62" i="43"/>
  <c r="AC74" i="43"/>
  <c r="AC39" i="43"/>
  <c r="AC66" i="43"/>
  <c r="AC90" i="43"/>
  <c r="AC50" i="43"/>
  <c r="AC58" i="43"/>
  <c r="AB16" i="43"/>
  <c r="AB20" i="43"/>
  <c r="AB24" i="43"/>
  <c r="AB28" i="43"/>
  <c r="AB32" i="43"/>
  <c r="AB36" i="43"/>
  <c r="AB40" i="43"/>
  <c r="AB44" i="43"/>
  <c r="AB48" i="43"/>
  <c r="AB52" i="43"/>
  <c r="AB56" i="43"/>
  <c r="AB60" i="43"/>
  <c r="AB64" i="43"/>
  <c r="AB68" i="43"/>
  <c r="AB72" i="43"/>
  <c r="AB76" i="43"/>
  <c r="AB80" i="43"/>
  <c r="AB84" i="43"/>
  <c r="AB88" i="43"/>
  <c r="AB92" i="43"/>
  <c r="AB96" i="43"/>
  <c r="AB100" i="43"/>
  <c r="AB104" i="43"/>
  <c r="AB108" i="43"/>
  <c r="AB112" i="43"/>
  <c r="AB116" i="43"/>
  <c r="AB120" i="43"/>
  <c r="AB124" i="43"/>
  <c r="AB128" i="43"/>
  <c r="AB132" i="43"/>
  <c r="AB136" i="43"/>
  <c r="AB15" i="43"/>
  <c r="AB23" i="43"/>
  <c r="AB39" i="43"/>
  <c r="AB47" i="43"/>
  <c r="AB59" i="43"/>
  <c r="AB63" i="43"/>
  <c r="AB75" i="43"/>
  <c r="AB87" i="43"/>
  <c r="AB99" i="43"/>
  <c r="AB107" i="43"/>
  <c r="AB119" i="43"/>
  <c r="AB131" i="43"/>
  <c r="AB17" i="43"/>
  <c r="AB21" i="43"/>
  <c r="AB25" i="43"/>
  <c r="AB29" i="43"/>
  <c r="AB33" i="43"/>
  <c r="AB37" i="43"/>
  <c r="AB41" i="43"/>
  <c r="AB45" i="43"/>
  <c r="AB49" i="43"/>
  <c r="AB53" i="43"/>
  <c r="AB57" i="43"/>
  <c r="AB61" i="43"/>
  <c r="AB65" i="43"/>
  <c r="AB69" i="43"/>
  <c r="AB73" i="43"/>
  <c r="AB77" i="43"/>
  <c r="AB81" i="43"/>
  <c r="AB85" i="43"/>
  <c r="AB89" i="43"/>
  <c r="AB93" i="43"/>
  <c r="AB97" i="43"/>
  <c r="AB101" i="43"/>
  <c r="AB105" i="43"/>
  <c r="AB109" i="43"/>
  <c r="AB113" i="43"/>
  <c r="AB117" i="43"/>
  <c r="AB121" i="43"/>
  <c r="AB125" i="43"/>
  <c r="AB129" i="43"/>
  <c r="AB133" i="43"/>
  <c r="AB137" i="43"/>
  <c r="AB27" i="43"/>
  <c r="AB51" i="43"/>
  <c r="AB67" i="43"/>
  <c r="AB79" i="43"/>
  <c r="AB95" i="43"/>
  <c r="AB111" i="43"/>
  <c r="AB123" i="43"/>
  <c r="AB135" i="43"/>
  <c r="AB18" i="43"/>
  <c r="AB22" i="43"/>
  <c r="AB26" i="43"/>
  <c r="AB30" i="43"/>
  <c r="AB34" i="43"/>
  <c r="AB38" i="43"/>
  <c r="AB42" i="43"/>
  <c r="AB46" i="43"/>
  <c r="AB50" i="43"/>
  <c r="AB54" i="43"/>
  <c r="AB58" i="43"/>
  <c r="AB62" i="43"/>
  <c r="AB66" i="43"/>
  <c r="AB70" i="43"/>
  <c r="AB74" i="43"/>
  <c r="AB78" i="43"/>
  <c r="AB82" i="43"/>
  <c r="AB86" i="43"/>
  <c r="AB90" i="43"/>
  <c r="AB94" i="43"/>
  <c r="AB98" i="43"/>
  <c r="AB102" i="43"/>
  <c r="AB106" i="43"/>
  <c r="AB110" i="43"/>
  <c r="AB114" i="43"/>
  <c r="AB118" i="43"/>
  <c r="AB122" i="43"/>
  <c r="AB126" i="43"/>
  <c r="AB130" i="43"/>
  <c r="AB134" i="43"/>
  <c r="AB138" i="43"/>
  <c r="AB19" i="43"/>
  <c r="AB31" i="43"/>
  <c r="AB35" i="43"/>
  <c r="AB43" i="43"/>
  <c r="AB55" i="43"/>
  <c r="AB71" i="43"/>
  <c r="AB83" i="43"/>
  <c r="AB91" i="43"/>
  <c r="AB103" i="43"/>
  <c r="AB115" i="43"/>
  <c r="AB127" i="43"/>
  <c r="AB139" i="43"/>
  <c r="K33" i="35"/>
  <c r="L33" i="35"/>
  <c r="O33" i="35"/>
  <c r="N33" i="35"/>
  <c r="M33" i="35"/>
  <c r="I22" i="24"/>
  <c r="AC141" i="43" l="1"/>
  <c r="AC12" i="43" s="1"/>
  <c r="AB141" i="43"/>
  <c r="AB12" i="43" s="1"/>
  <c r="AD109" i="43"/>
  <c r="AD81" i="43"/>
  <c r="AD69" i="43"/>
  <c r="AD49" i="43"/>
  <c r="AD89" i="43"/>
  <c r="AD41" i="43"/>
  <c r="AD84" i="43"/>
  <c r="AD71" i="43"/>
  <c r="AD45" i="43"/>
  <c r="AD97" i="43"/>
  <c r="AD115" i="43"/>
  <c r="AD88" i="43"/>
  <c r="AD85" i="43"/>
  <c r="AD119" i="43"/>
  <c r="AD79" i="43"/>
  <c r="AD95" i="43"/>
  <c r="AD59" i="43"/>
  <c r="AD133" i="43"/>
  <c r="AD93" i="43"/>
  <c r="AD106" i="43"/>
  <c r="AD111" i="43"/>
  <c r="AD87" i="43"/>
  <c r="AD68" i="43"/>
  <c r="AD122" i="43"/>
  <c r="AD91" i="43"/>
  <c r="AD121" i="43"/>
  <c r="AD55" i="43"/>
  <c r="AD113" i="43"/>
  <c r="AD63" i="43"/>
  <c r="AD61" i="43"/>
  <c r="AD65" i="43"/>
  <c r="AD125" i="43"/>
  <c r="AD57" i="43"/>
  <c r="AD72" i="43"/>
  <c r="AD136" i="43"/>
  <c r="AD101" i="43"/>
  <c r="AD128" i="43"/>
  <c r="AD52" i="43"/>
  <c r="AD120" i="43"/>
  <c r="AD118" i="43"/>
  <c r="AD67" i="43"/>
  <c r="AD137" i="43"/>
  <c r="AD123" i="43"/>
  <c r="AD99" i="43"/>
  <c r="AD117" i="43"/>
  <c r="AD64" i="43"/>
  <c r="AD51" i="43"/>
  <c r="AD83" i="43"/>
  <c r="AD53" i="43"/>
  <c r="AD47" i="43"/>
  <c r="AD129" i="43"/>
  <c r="AD134" i="43"/>
  <c r="AD126" i="43"/>
  <c r="AD103" i="43"/>
  <c r="AD138" i="43"/>
  <c r="AD75" i="43"/>
  <c r="AD105" i="43"/>
  <c r="AD44" i="43"/>
  <c r="AD124" i="43"/>
  <c r="AD76" i="43"/>
  <c r="AD108" i="43"/>
  <c r="AD131" i="43"/>
  <c r="AD104" i="43"/>
  <c r="AD73" i="43"/>
  <c r="AD102" i="43"/>
  <c r="AD77" i="43"/>
  <c r="AD127" i="43"/>
  <c r="AD114" i="43"/>
  <c r="AD107" i="43"/>
  <c r="AD112" i="43"/>
  <c r="AD132" i="43"/>
  <c r="AD92" i="43"/>
  <c r="AD96" i="43"/>
  <c r="AD100" i="43"/>
  <c r="AD135" i="43"/>
  <c r="AD110" i="43"/>
  <c r="AD60" i="43"/>
  <c r="AD56" i="43"/>
  <c r="AD139" i="43"/>
  <c r="AD116" i="43"/>
  <c r="AD48" i="43"/>
  <c r="AD130" i="43"/>
  <c r="AD80" i="43"/>
  <c r="AD34" i="43"/>
  <c r="AD18" i="43"/>
  <c r="AD33" i="43"/>
  <c r="AD28" i="43"/>
  <c r="AD17" i="43"/>
  <c r="AD24" i="43"/>
  <c r="AD23" i="43"/>
  <c r="AD40" i="43"/>
  <c r="AD19" i="43"/>
  <c r="AD26" i="43"/>
  <c r="AD31" i="43"/>
  <c r="AD22" i="43"/>
  <c r="AD32" i="43"/>
  <c r="AD30" i="43"/>
  <c r="AD25" i="43"/>
  <c r="AD36" i="43"/>
  <c r="AD20" i="43"/>
  <c r="AD35" i="43"/>
  <c r="AD27" i="43"/>
  <c r="AD29" i="43"/>
  <c r="AD15" i="43"/>
  <c r="AD16" i="43"/>
  <c r="AD21" i="43"/>
  <c r="AD82" i="43"/>
  <c r="AD50" i="43"/>
  <c r="AD58" i="43"/>
  <c r="AD86" i="43"/>
  <c r="AD43" i="43"/>
  <c r="AD70" i="43"/>
  <c r="AD74" i="43"/>
  <c r="AD78" i="43"/>
  <c r="AD37" i="43"/>
  <c r="AD66" i="43"/>
  <c r="AD46" i="43"/>
  <c r="AD39" i="43"/>
  <c r="AD90" i="43"/>
  <c r="AD94" i="43"/>
  <c r="AD38" i="43"/>
  <c r="AD54" i="43"/>
  <c r="AD62" i="43"/>
  <c r="AD42" i="43"/>
  <c r="AD98" i="43"/>
  <c r="M22" i="24"/>
  <c r="N22" i="24"/>
  <c r="I23" i="24"/>
  <c r="G29" i="44"/>
  <c r="K22" i="24"/>
  <c r="L22" i="24"/>
  <c r="J22" i="24"/>
  <c r="AD141" i="43" l="1"/>
  <c r="AD12" i="43" s="1"/>
  <c r="AE65" i="43"/>
  <c r="AE123" i="43"/>
  <c r="AE59" i="43"/>
  <c r="AE115" i="43"/>
  <c r="AE122" i="43"/>
  <c r="AE71" i="43"/>
  <c r="AE106" i="43"/>
  <c r="AE136" i="43"/>
  <c r="AE67" i="43"/>
  <c r="AE113" i="43"/>
  <c r="AE79" i="43"/>
  <c r="AE120" i="43"/>
  <c r="AE117" i="43"/>
  <c r="AE101" i="43"/>
  <c r="AE93" i="43"/>
  <c r="AE63" i="43"/>
  <c r="AE95" i="43"/>
  <c r="AE137" i="43"/>
  <c r="AE129" i="43"/>
  <c r="AE61" i="43"/>
  <c r="AE89" i="43"/>
  <c r="AE81" i="43"/>
  <c r="AE91" i="43"/>
  <c r="AE88" i="43"/>
  <c r="AE118" i="43"/>
  <c r="AE47" i="43"/>
  <c r="AE109" i="43"/>
  <c r="AE77" i="43"/>
  <c r="AE51" i="43"/>
  <c r="AE57" i="43"/>
  <c r="AE45" i="43"/>
  <c r="AE53" i="43"/>
  <c r="AE102" i="43"/>
  <c r="AE52" i="43"/>
  <c r="AE99" i="43"/>
  <c r="AE85" i="43"/>
  <c r="AE125" i="43"/>
  <c r="AE68" i="43"/>
  <c r="AE133" i="43"/>
  <c r="AE119" i="43"/>
  <c r="AE72" i="43"/>
  <c r="AE97" i="43"/>
  <c r="AE69" i="43"/>
  <c r="AE121" i="43"/>
  <c r="AE84" i="43"/>
  <c r="AE55" i="43"/>
  <c r="AE83" i="43"/>
  <c r="AE111" i="43"/>
  <c r="AE41" i="43"/>
  <c r="AE128" i="43"/>
  <c r="AE87" i="43"/>
  <c r="AE64" i="43"/>
  <c r="AE49" i="43"/>
  <c r="AE76" i="43"/>
  <c r="AE112" i="43"/>
  <c r="AE134" i="43"/>
  <c r="AE127" i="43"/>
  <c r="AE138" i="43"/>
  <c r="AE114" i="43"/>
  <c r="AE104" i="43"/>
  <c r="AE73" i="43"/>
  <c r="AE124" i="43"/>
  <c r="AE107" i="43"/>
  <c r="AE105" i="43"/>
  <c r="AE75" i="43"/>
  <c r="AE103" i="43"/>
  <c r="AE126" i="43"/>
  <c r="AE131" i="43"/>
  <c r="AE108" i="43"/>
  <c r="AE44" i="43"/>
  <c r="AE96" i="43"/>
  <c r="AE110" i="43"/>
  <c r="AE116" i="43"/>
  <c r="AE92" i="43"/>
  <c r="AE48" i="43"/>
  <c r="AE56" i="43"/>
  <c r="AE60" i="43"/>
  <c r="AE100" i="43"/>
  <c r="AE139" i="43"/>
  <c r="AE132" i="43"/>
  <c r="AE135" i="43"/>
  <c r="AE80" i="43"/>
  <c r="AE130" i="43"/>
  <c r="AE26" i="43"/>
  <c r="AE16" i="43"/>
  <c r="AE30" i="43"/>
  <c r="AE19" i="43"/>
  <c r="AE35" i="43"/>
  <c r="AE24" i="43"/>
  <c r="AE34" i="43"/>
  <c r="AE36" i="43"/>
  <c r="AE23" i="43"/>
  <c r="AE25" i="43"/>
  <c r="AE32" i="43"/>
  <c r="AE15" i="43"/>
  <c r="AE17" i="43"/>
  <c r="AE28" i="43"/>
  <c r="AE27" i="43"/>
  <c r="AE33" i="43"/>
  <c r="AE29" i="43"/>
  <c r="AE22" i="43"/>
  <c r="AE31" i="43"/>
  <c r="AE40" i="43"/>
  <c r="AE18" i="43"/>
  <c r="AE21" i="43"/>
  <c r="AE20" i="43"/>
  <c r="AE78" i="43"/>
  <c r="AE46" i="43"/>
  <c r="AE43" i="43"/>
  <c r="AE54" i="43"/>
  <c r="AE74" i="43"/>
  <c r="AE94" i="43"/>
  <c r="AE82" i="43"/>
  <c r="AE90" i="43"/>
  <c r="AE70" i="43"/>
  <c r="AE50" i="43"/>
  <c r="AE39" i="43"/>
  <c r="AE38" i="43"/>
  <c r="AE62" i="43"/>
  <c r="AE86" i="43"/>
  <c r="AE58" i="43"/>
  <c r="AE37" i="43"/>
  <c r="AE66" i="43"/>
  <c r="AE42" i="43"/>
  <c r="AE98" i="43"/>
  <c r="N23" i="24"/>
  <c r="L29" i="44"/>
  <c r="L31" i="44" s="1"/>
  <c r="J34" i="35"/>
  <c r="I24" i="24"/>
  <c r="J29" i="44"/>
  <c r="J31" i="44" s="1"/>
  <c r="L23" i="24"/>
  <c r="H29" i="44"/>
  <c r="H31" i="44" s="1"/>
  <c r="J23" i="24"/>
  <c r="I29" i="44"/>
  <c r="I31" i="44" s="1"/>
  <c r="K23" i="24"/>
  <c r="M23" i="24"/>
  <c r="K29" i="44"/>
  <c r="K31" i="44" s="1"/>
  <c r="AE141" i="43" l="1"/>
  <c r="AE12" i="43" s="1"/>
  <c r="AF113" i="43"/>
  <c r="AF106" i="43"/>
  <c r="AF115" i="43"/>
  <c r="AF120" i="43"/>
  <c r="AF101" i="43"/>
  <c r="AF67" i="43"/>
  <c r="AF122" i="43"/>
  <c r="AF136" i="43"/>
  <c r="AF123" i="43"/>
  <c r="AF59" i="43"/>
  <c r="AF88" i="43"/>
  <c r="AF95" i="43"/>
  <c r="AF85" i="43"/>
  <c r="AF81" i="43"/>
  <c r="AF71" i="43"/>
  <c r="AF79" i="43"/>
  <c r="AF119" i="43"/>
  <c r="AF99" i="43"/>
  <c r="AF63" i="43"/>
  <c r="AF91" i="43"/>
  <c r="AF49" i="43"/>
  <c r="AF83" i="43"/>
  <c r="AF61" i="43"/>
  <c r="AF69" i="43"/>
  <c r="AF53" i="43"/>
  <c r="AF111" i="43"/>
  <c r="AF51" i="43"/>
  <c r="AF65" i="43"/>
  <c r="AF109" i="43"/>
  <c r="AF121" i="43"/>
  <c r="AF117" i="43"/>
  <c r="AF57" i="43"/>
  <c r="AF64" i="43"/>
  <c r="AF137" i="43"/>
  <c r="AF128" i="43"/>
  <c r="AF45" i="43"/>
  <c r="AF89" i="43"/>
  <c r="AF97" i="43"/>
  <c r="AF133" i="43"/>
  <c r="AF52" i="43"/>
  <c r="AF77" i="43"/>
  <c r="AF84" i="43"/>
  <c r="AF47" i="43"/>
  <c r="AF68" i="43"/>
  <c r="AF118" i="43"/>
  <c r="AF93" i="43"/>
  <c r="AF129" i="43"/>
  <c r="AF72" i="43"/>
  <c r="AF87" i="43"/>
  <c r="AF55" i="43"/>
  <c r="AF102" i="43"/>
  <c r="AF125" i="43"/>
  <c r="AF41" i="43"/>
  <c r="AF131" i="43"/>
  <c r="AF108" i="43"/>
  <c r="AF107" i="43"/>
  <c r="AF134" i="43"/>
  <c r="AF104" i="43"/>
  <c r="AF75" i="43"/>
  <c r="AF127" i="43"/>
  <c r="AF138" i="43"/>
  <c r="AF103" i="43"/>
  <c r="AF112" i="43"/>
  <c r="AF124" i="43"/>
  <c r="AF126" i="43"/>
  <c r="AF73" i="43"/>
  <c r="AF105" i="43"/>
  <c r="AF76" i="43"/>
  <c r="AF44" i="43"/>
  <c r="AF114" i="43"/>
  <c r="AF48" i="43"/>
  <c r="AF132" i="43"/>
  <c r="AF110" i="43"/>
  <c r="AF92" i="43"/>
  <c r="AF56" i="43"/>
  <c r="AF116" i="43"/>
  <c r="AF60" i="43"/>
  <c r="AF100" i="43"/>
  <c r="AF130" i="43"/>
  <c r="AF80" i="43"/>
  <c r="AF139" i="43"/>
  <c r="AF135" i="43"/>
  <c r="AF96" i="43"/>
  <c r="AF31" i="43"/>
  <c r="AF30" i="43"/>
  <c r="AF18" i="43"/>
  <c r="AF26" i="43"/>
  <c r="AF22" i="43"/>
  <c r="AF36" i="43"/>
  <c r="AF28" i="43"/>
  <c r="AF15" i="43"/>
  <c r="AF23" i="43"/>
  <c r="AF40" i="43"/>
  <c r="AF35" i="43"/>
  <c r="AF19" i="43"/>
  <c r="AF21" i="43"/>
  <c r="AF32" i="43"/>
  <c r="AF24" i="43"/>
  <c r="AF27" i="43"/>
  <c r="AF20" i="43"/>
  <c r="AF33" i="43"/>
  <c r="AF17" i="43"/>
  <c r="AF29" i="43"/>
  <c r="AF25" i="43"/>
  <c r="AF34" i="43"/>
  <c r="AF16" i="43"/>
  <c r="AF98" i="43"/>
  <c r="AF62" i="43"/>
  <c r="AF82" i="43"/>
  <c r="AF50" i="43"/>
  <c r="AF38" i="43"/>
  <c r="AF86" i="43"/>
  <c r="AF78" i="43"/>
  <c r="AF42" i="43"/>
  <c r="AF66" i="43"/>
  <c r="AF70" i="43"/>
  <c r="AF90" i="43"/>
  <c r="AF58" i="43"/>
  <c r="AF46" i="43"/>
  <c r="AF54" i="43"/>
  <c r="AF94" i="43"/>
  <c r="AF37" i="43"/>
  <c r="AF74" i="43"/>
  <c r="AF39" i="43"/>
  <c r="AF43" i="43"/>
  <c r="M28" i="24"/>
  <c r="M29" i="24" s="1"/>
  <c r="M24" i="24"/>
  <c r="N34" i="35"/>
  <c r="M32" i="24"/>
  <c r="M33" i="24" s="1"/>
  <c r="O35" i="35"/>
  <c r="L32" i="44"/>
  <c r="K35" i="35"/>
  <c r="H32" i="44"/>
  <c r="K32" i="24"/>
  <c r="K33" i="24" s="1"/>
  <c r="K24" i="24"/>
  <c r="L34" i="35"/>
  <c r="K28" i="24"/>
  <c r="K29" i="24" s="1"/>
  <c r="M34" i="35"/>
  <c r="L28" i="24"/>
  <c r="L29" i="24" s="1"/>
  <c r="L24" i="24"/>
  <c r="L32" i="24"/>
  <c r="L33" i="24" s="1"/>
  <c r="N28" i="24"/>
  <c r="N29" i="24" s="1"/>
  <c r="N24" i="24"/>
  <c r="O34" i="35"/>
  <c r="N32" i="24"/>
  <c r="N33" i="24" s="1"/>
  <c r="I32" i="44"/>
  <c r="L35" i="35"/>
  <c r="M35" i="35"/>
  <c r="J32" i="44"/>
  <c r="K32" i="44"/>
  <c r="N35" i="35"/>
  <c r="J28" i="24"/>
  <c r="J29" i="24" s="1"/>
  <c r="J24" i="24"/>
  <c r="K34" i="35"/>
  <c r="AF141" i="43" l="1"/>
  <c r="AF12" i="43" s="1"/>
  <c r="O45" i="35"/>
  <c r="O48" i="35" s="1"/>
  <c r="O223" i="35" s="1"/>
  <c r="L45" i="35"/>
  <c r="L48" i="35" s="1"/>
  <c r="L205" i="35" s="1"/>
  <c r="L210" i="35" s="1"/>
  <c r="L217" i="35" s="1"/>
  <c r="N45" i="35"/>
  <c r="N48" i="35" s="1"/>
  <c r="K45" i="35"/>
  <c r="K48" i="35" s="1"/>
  <c r="M45" i="35"/>
  <c r="M48" i="35" s="1"/>
  <c r="L98" i="35" l="1"/>
  <c r="G77" i="49" s="1"/>
  <c r="H14" i="38"/>
  <c r="G63" i="49" s="1"/>
  <c r="L223" i="35"/>
  <c r="L228" i="35" s="1"/>
  <c r="L235" i="35" s="1"/>
  <c r="K14" i="38"/>
  <c r="J63" i="49" s="1"/>
  <c r="O205" i="35"/>
  <c r="O210" i="35" s="1"/>
  <c r="O217" i="35" s="1"/>
  <c r="O98" i="35"/>
  <c r="J77" i="49" s="1"/>
  <c r="N98" i="35"/>
  <c r="N223" i="35"/>
  <c r="N205" i="35"/>
  <c r="N210" i="35" s="1"/>
  <c r="N217" i="35" s="1"/>
  <c r="J14" i="38"/>
  <c r="K98" i="35"/>
  <c r="K205" i="35"/>
  <c r="K210" i="35" s="1"/>
  <c r="K217" i="35" s="1"/>
  <c r="K223" i="35"/>
  <c r="O228" i="35"/>
  <c r="O235" i="35" s="1"/>
  <c r="K58" i="38"/>
  <c r="K63" i="38" s="1"/>
  <c r="K71" i="38" s="1"/>
  <c r="K84" i="38" s="1"/>
  <c r="M98" i="35"/>
  <c r="I14" i="38"/>
  <c r="M223" i="35"/>
  <c r="M205" i="35"/>
  <c r="M210" i="35" s="1"/>
  <c r="M217" i="35" s="1"/>
  <c r="H58" i="38" l="1"/>
  <c r="H63" i="38" s="1"/>
  <c r="H71" i="38" s="1"/>
  <c r="H84" i="38" s="1"/>
  <c r="L195" i="35"/>
  <c r="H19" i="38"/>
  <c r="G67" i="49" s="1"/>
  <c r="K19" i="38"/>
  <c r="J67" i="49" s="1"/>
  <c r="O195" i="35"/>
  <c r="J58" i="38"/>
  <c r="J63" i="38" s="1"/>
  <c r="J71" i="38" s="1"/>
  <c r="J84" i="38" s="1"/>
  <c r="N228" i="35"/>
  <c r="N235" i="35" s="1"/>
  <c r="F77" i="49"/>
  <c r="K195" i="35"/>
  <c r="I77" i="49"/>
  <c r="N195" i="35"/>
  <c r="M195" i="35"/>
  <c r="H77" i="49"/>
  <c r="M228" i="35"/>
  <c r="M235" i="35" s="1"/>
  <c r="I58" i="38"/>
  <c r="I63" i="38" s="1"/>
  <c r="I71" i="38" s="1"/>
  <c r="I84" i="38" s="1"/>
  <c r="K228" i="35"/>
  <c r="K235" i="35" s="1"/>
  <c r="G58" i="38"/>
  <c r="G63" i="38" s="1"/>
  <c r="I63" i="49"/>
  <c r="J19" i="38"/>
  <c r="H63" i="49"/>
  <c r="I19" i="38"/>
  <c r="H27" i="38" l="1"/>
  <c r="H40" i="38" s="1"/>
  <c r="G13" i="49"/>
  <c r="G39" i="49" s="1"/>
  <c r="G58" i="49"/>
  <c r="K27" i="38"/>
  <c r="K40" i="38" s="1"/>
  <c r="J58" i="49"/>
  <c r="J13" i="49"/>
  <c r="J41" i="49" s="1"/>
  <c r="H67" i="49"/>
  <c r="H58" i="49"/>
  <c r="H13" i="49"/>
  <c r="I27" i="38"/>
  <c r="I13" i="49"/>
  <c r="I67" i="49"/>
  <c r="J27" i="38"/>
  <c r="I58" i="49"/>
  <c r="G57" i="49" l="1"/>
  <c r="G59" i="49" s="1"/>
  <c r="G15" i="49"/>
  <c r="G85" i="49" s="1"/>
  <c r="J57" i="49"/>
  <c r="J59" i="49" s="1"/>
  <c r="G42" i="49"/>
  <c r="J15" i="49"/>
  <c r="J85" i="49" s="1"/>
  <c r="G41" i="49"/>
  <c r="G40" i="49"/>
  <c r="J40" i="49"/>
  <c r="J42" i="49"/>
  <c r="J39" i="49"/>
  <c r="H39" i="49"/>
  <c r="H15" i="49"/>
  <c r="H41" i="49"/>
  <c r="H40" i="49"/>
  <c r="H42" i="49"/>
  <c r="N66" i="39"/>
  <c r="K17" i="40"/>
  <c r="K30" i="40" s="1"/>
  <c r="K48" i="40" s="1"/>
  <c r="J40" i="38"/>
  <c r="I57" i="49"/>
  <c r="I59" i="49" s="1"/>
  <c r="K66" i="39"/>
  <c r="H17" i="40"/>
  <c r="H30" i="40" s="1"/>
  <c r="H48" i="40" s="1"/>
  <c r="I41" i="49"/>
  <c r="I40" i="49"/>
  <c r="I39" i="49"/>
  <c r="I15" i="49"/>
  <c r="I42" i="49"/>
  <c r="H57" i="49"/>
  <c r="H59" i="49" s="1"/>
  <c r="I40" i="38"/>
  <c r="J16" i="49" l="1"/>
  <c r="G16" i="49"/>
  <c r="G82" i="49"/>
  <c r="G75" i="49"/>
  <c r="J82" i="49"/>
  <c r="J75" i="49"/>
  <c r="M66" i="39"/>
  <c r="J17" i="40"/>
  <c r="J30" i="40" s="1"/>
  <c r="J48" i="40" s="1"/>
  <c r="I82" i="49"/>
  <c r="I16" i="49"/>
  <c r="I85" i="49"/>
  <c r="I75" i="49"/>
  <c r="H75" i="49"/>
  <c r="H16" i="49"/>
  <c r="H85" i="49"/>
  <c r="H82" i="49"/>
  <c r="L66" i="39"/>
  <c r="I17" i="40"/>
  <c r="I30" i="40" s="1"/>
  <c r="I48" i="40" s="1"/>
  <c r="H63" i="18" l="1"/>
  <c r="H41" i="18" s="1"/>
  <c r="I41" i="18" l="1"/>
  <c r="O141" i="43"/>
  <c r="O12" i="43" s="1"/>
  <c r="S141" i="43"/>
  <c r="S12" i="43" s="1"/>
  <c r="N141" i="43"/>
  <c r="N12" i="43" s="1"/>
  <c r="P141" i="43"/>
  <c r="P12" i="43" s="1"/>
  <c r="R141" i="43"/>
  <c r="R12" i="43" s="1"/>
  <c r="Q141" i="43"/>
  <c r="Q12" i="43" s="1"/>
  <c r="I16" i="24"/>
  <c r="I17" i="24" s="1"/>
  <c r="G16" i="44"/>
  <c r="H64" i="18" l="1"/>
  <c r="H42" i="18" s="1"/>
  <c r="J32" i="24"/>
  <c r="J33" i="24" s="1"/>
  <c r="I28" i="24"/>
  <c r="I29" i="24" s="1"/>
  <c r="I32" i="24"/>
  <c r="I33" i="24" s="1"/>
  <c r="I18" i="24"/>
  <c r="I42" i="18" l="1"/>
  <c r="H176" i="18" l="1"/>
  <c r="H191" i="18" s="1"/>
  <c r="H208" i="18" s="1"/>
  <c r="H242" i="18" l="1"/>
  <c r="H228" i="18" s="1"/>
  <c r="H246" i="18" l="1"/>
  <c r="G14" i="44" l="1"/>
  <c r="I176" i="18"/>
  <c r="I191" i="18" s="1"/>
  <c r="I242" i="18" l="1"/>
  <c r="I228" i="18" s="1"/>
  <c r="I208" i="18"/>
  <c r="I272" i="18"/>
  <c r="I258" i="18" s="1"/>
  <c r="H272" i="18"/>
  <c r="H258" i="18" s="1"/>
  <c r="G17" i="44"/>
  <c r="I246" i="18" l="1"/>
  <c r="I249" i="18" s="1"/>
  <c r="F79" i="49"/>
  <c r="G21" i="44"/>
  <c r="G22" i="44" s="1"/>
  <c r="G18" i="44"/>
  <c r="H276" i="18"/>
  <c r="F65" i="38" s="1"/>
  <c r="I213" i="18"/>
  <c r="I276" i="18"/>
  <c r="G21" i="38" l="1"/>
  <c r="G25" i="38" s="1"/>
  <c r="F19" i="49" s="1"/>
  <c r="F21" i="49" s="1"/>
  <c r="F76" i="49"/>
  <c r="G65" i="38"/>
  <c r="G69" i="38" s="1"/>
  <c r="G71" i="38" s="1"/>
  <c r="G84" i="38" s="1"/>
  <c r="I279" i="18"/>
  <c r="G19" i="44"/>
  <c r="H65" i="18"/>
  <c r="H43" i="18" s="1"/>
  <c r="G112" i="49" l="1"/>
  <c r="I112" i="49"/>
  <c r="J112" i="49"/>
  <c r="F112" i="49"/>
  <c r="H112" i="49"/>
  <c r="F22" i="49"/>
  <c r="F84" i="49"/>
  <c r="I43" i="18"/>
  <c r="I52" i="18" s="1"/>
  <c r="I238" i="18" s="1"/>
  <c r="I224" i="18" s="1"/>
  <c r="H52" i="18"/>
  <c r="H268" i="18"/>
  <c r="H254" i="18" s="1"/>
  <c r="H75" i="18"/>
  <c r="F86" i="49"/>
  <c r="F83" i="49"/>
  <c r="H238" i="18" l="1"/>
  <c r="H224" i="18" s="1"/>
  <c r="H73" i="18"/>
  <c r="G14" i="38"/>
  <c r="I73" i="18"/>
  <c r="H128" i="18" l="1"/>
  <c r="F63" i="49"/>
  <c r="G19" i="38"/>
  <c r="H245" i="18" l="1"/>
  <c r="H249" i="18" s="1"/>
  <c r="H275" i="18"/>
  <c r="H279" i="18" s="1"/>
  <c r="H213" i="18"/>
  <c r="G108" i="49"/>
  <c r="I108" i="49"/>
  <c r="F108" i="49"/>
  <c r="J108" i="49"/>
  <c r="H108" i="49"/>
  <c r="F13" i="49"/>
  <c r="G27" i="38"/>
  <c r="F67" i="49"/>
  <c r="F58" i="49"/>
  <c r="G40" i="38" l="1"/>
  <c r="F57" i="49"/>
  <c r="F59" i="49" s="1"/>
  <c r="F41" i="49"/>
  <c r="F39" i="49"/>
  <c r="F42" i="49"/>
  <c r="F40" i="49"/>
  <c r="F15" i="49"/>
  <c r="F75" i="49" l="1"/>
  <c r="G107" i="49"/>
  <c r="I107" i="49"/>
  <c r="J107" i="49"/>
  <c r="F107" i="49"/>
  <c r="H107" i="49"/>
  <c r="F16" i="49"/>
  <c r="F82" i="49"/>
  <c r="F85" i="49"/>
  <c r="J66" i="39"/>
  <c r="G17" i="40"/>
  <c r="G30" i="40" s="1"/>
  <c r="G48" i="40" s="1"/>
  <c r="J159" i="35"/>
  <c r="J169" i="35" s="1"/>
  <c r="J186" i="35" s="1"/>
  <c r="G26" i="44"/>
  <c r="G27" i="44" s="1"/>
  <c r="J232" i="35" l="1"/>
  <c r="F24" i="38"/>
  <c r="F25" i="38" s="1"/>
  <c r="J190" i="35"/>
  <c r="J214" i="35"/>
  <c r="J215" i="35" s="1"/>
  <c r="G30" i="44"/>
  <c r="G31" i="44" s="1"/>
  <c r="G34" i="44"/>
  <c r="G35" i="44" s="1"/>
  <c r="G32" i="44" l="1"/>
  <c r="J35" i="35"/>
  <c r="J45" i="35" s="1"/>
  <c r="J48" i="35" s="1"/>
  <c r="F68" i="38"/>
  <c r="F69" i="38" s="1"/>
  <c r="J233" i="35"/>
  <c r="J98" i="35" l="1"/>
  <c r="J223" i="35"/>
  <c r="J205" i="35"/>
  <c r="J210" i="35" s="1"/>
  <c r="J217" i="35" s="1"/>
  <c r="J195" i="35" l="1"/>
  <c r="F19" i="38"/>
  <c r="F58" i="38"/>
  <c r="F63" i="38" s="1"/>
  <c r="F71" i="38" s="1"/>
  <c r="F84" i="38" s="1"/>
  <c r="J228" i="35"/>
  <c r="J235" i="35" s="1"/>
  <c r="F27" i="38" l="1"/>
  <c r="F40" i="38" l="1"/>
  <c r="I66" i="39" l="1"/>
  <c r="F17" i="40"/>
  <c r="F30" i="40" s="1"/>
  <c r="F48" i="40" s="1"/>
  <c r="F51" i="40" s="1"/>
  <c r="G11" i="40" s="1"/>
  <c r="G51" i="40" s="1"/>
  <c r="H11" i="40" s="1"/>
  <c r="H51" i="40" s="1"/>
  <c r="I11" i="40" s="1"/>
  <c r="I51" i="40" s="1"/>
  <c r="J11" i="40" s="1"/>
  <c r="J51" i="40" s="1"/>
  <c r="K11" i="40" s="1"/>
  <c r="K51" i="40" s="1"/>
  <c r="H23" i="39" l="1"/>
  <c r="H25" i="39" s="1"/>
  <c r="H32" i="39" l="1"/>
  <c r="H65" i="39"/>
  <c r="H36" i="39" l="1"/>
  <c r="H63" i="39" s="1"/>
  <c r="H56" i="39" l="1"/>
  <c r="H64" i="39" s="1"/>
  <c r="I32" i="39"/>
  <c r="I67" i="39" l="1"/>
  <c r="I36" i="39"/>
  <c r="I56" i="39" l="1"/>
  <c r="I64" i="39" s="1"/>
  <c r="J32" i="39"/>
  <c r="F38" i="49" l="1"/>
  <c r="J67" i="39"/>
  <c r="J36" i="39"/>
  <c r="I22" i="39"/>
  <c r="F49" i="49" l="1"/>
  <c r="F49" i="40"/>
  <c r="I23" i="39"/>
  <c r="F61" i="49"/>
  <c r="F64" i="49" s="1"/>
  <c r="J56" i="39"/>
  <c r="J64" i="39" s="1"/>
  <c r="F45" i="49"/>
  <c r="K32" i="39"/>
  <c r="K67" i="39" l="1"/>
  <c r="K36" i="39"/>
  <c r="G38" i="49"/>
  <c r="J22" i="39"/>
  <c r="I65" i="39"/>
  <c r="F52" i="40" s="1"/>
  <c r="I25" i="39"/>
  <c r="I63" i="39" s="1"/>
  <c r="G49" i="49" l="1"/>
  <c r="G61" i="49"/>
  <c r="G64" i="49" s="1"/>
  <c r="G45" i="49"/>
  <c r="L32" i="39"/>
  <c r="K56" i="39"/>
  <c r="K64" i="39" s="1"/>
  <c r="I68" i="39"/>
  <c r="J23" i="39"/>
  <c r="G49" i="40"/>
  <c r="J25" i="39" l="1"/>
  <c r="F53" i="49"/>
  <c r="J65" i="39"/>
  <c r="G52" i="40" s="1"/>
  <c r="K22" i="39"/>
  <c r="L67" i="39"/>
  <c r="L36" i="39"/>
  <c r="H38" i="49"/>
  <c r="H49" i="49" l="1"/>
  <c r="F50" i="49"/>
  <c r="F51" i="49" s="1"/>
  <c r="J63" i="39"/>
  <c r="L56" i="39"/>
  <c r="L64" i="39" s="1"/>
  <c r="H45" i="49"/>
  <c r="M32" i="39"/>
  <c r="H61" i="49"/>
  <c r="H64" i="49" s="1"/>
  <c r="H49" i="40"/>
  <c r="K23" i="39"/>
  <c r="F46" i="49"/>
  <c r="F47" i="49" s="1"/>
  <c r="F66" i="49"/>
  <c r="F68" i="49" s="1"/>
  <c r="J68" i="39"/>
  <c r="I38" i="49" l="1"/>
  <c r="M36" i="39"/>
  <c r="M67" i="39"/>
  <c r="K25" i="39"/>
  <c r="G53" i="49"/>
  <c r="K65" i="39"/>
  <c r="H52" i="40" s="1"/>
  <c r="L22" i="39"/>
  <c r="I49" i="49" l="1"/>
  <c r="G50" i="49"/>
  <c r="G51" i="49" s="1"/>
  <c r="K63" i="39"/>
  <c r="L23" i="39"/>
  <c r="I49" i="40"/>
  <c r="I45" i="49"/>
  <c r="M56" i="39"/>
  <c r="M64" i="39" s="1"/>
  <c r="I61" i="49"/>
  <c r="I64" i="49" s="1"/>
  <c r="N32" i="39"/>
  <c r="G66" i="49"/>
  <c r="G68" i="49" s="1"/>
  <c r="G46" i="49"/>
  <c r="G47" i="49" s="1"/>
  <c r="K68" i="39"/>
  <c r="M22" i="39" l="1"/>
  <c r="J38" i="49"/>
  <c r="N67" i="39"/>
  <c r="N36" i="39"/>
  <c r="L25" i="39"/>
  <c r="H53" i="49"/>
  <c r="L65" i="39"/>
  <c r="I52" i="40" s="1"/>
  <c r="H50" i="49" l="1"/>
  <c r="H51" i="49" s="1"/>
  <c r="L63" i="39"/>
  <c r="J49" i="49"/>
  <c r="L68" i="39"/>
  <c r="H46" i="49"/>
  <c r="H47" i="49" s="1"/>
  <c r="H66" i="49"/>
  <c r="H68" i="49" s="1"/>
  <c r="J45" i="49"/>
  <c r="N56" i="39"/>
  <c r="N64" i="39" s="1"/>
  <c r="J61" i="49"/>
  <c r="J64" i="49" s="1"/>
  <c r="J49" i="40"/>
  <c r="M23" i="39"/>
  <c r="I53" i="49" l="1"/>
  <c r="M65" i="39"/>
  <c r="J52" i="40" s="1"/>
  <c r="M25" i="39"/>
  <c r="N22" i="39"/>
  <c r="I50" i="49" l="1"/>
  <c r="I51" i="49" s="1"/>
  <c r="M63" i="39"/>
  <c r="N23" i="39"/>
  <c r="K49" i="40"/>
  <c r="M68" i="39"/>
  <c r="I46" i="49"/>
  <c r="I47" i="49" s="1"/>
  <c r="I66" i="49"/>
  <c r="I68" i="49" s="1"/>
  <c r="N65" i="39" l="1"/>
  <c r="K52" i="40" s="1"/>
  <c r="J53" i="49"/>
  <c r="N25" i="39"/>
  <c r="J50" i="49" l="1"/>
  <c r="J51" i="49" s="1"/>
  <c r="N63" i="39"/>
  <c r="J66" i="49"/>
  <c r="J68" i="49" s="1"/>
  <c r="J46" i="49"/>
  <c r="J47" i="49" s="1"/>
  <c r="N68" i="39"/>
</calcChain>
</file>

<file path=xl/comments1.xml><?xml version="1.0" encoding="utf-8"?>
<comments xmlns="http://schemas.openxmlformats.org/spreadsheetml/2006/main">
  <authors>
    <author>Auteur</author>
  </authors>
  <commentList>
    <comment ref="D25" authorId="0" shapeId="0">
      <text>
        <r>
          <rPr>
            <sz val="9"/>
            <color indexed="81"/>
            <rFont val="Tahoma"/>
            <family val="2"/>
          </rPr>
          <t xml:space="preserve">
Dit gegeven is nog nodig voor de overgangsregeling en is door DUO bij beschikking bekend gemaakt voor 2014-2015. Het betreft de leerjaren 3, 4, 5 en 6 VMBO plus voor de helft de leerlingen leerjaar 3 en 4 van VAVO (TG).
</t>
        </r>
      </text>
    </comment>
    <comment ref="F28" authorId="0" shapeId="0">
      <text>
        <r>
          <rPr>
            <sz val="9"/>
            <color indexed="81"/>
            <rFont val="Tahoma"/>
            <family val="2"/>
          </rPr>
          <t xml:space="preserve">
Percentage t.o.v. totaal aantal leerlingen wordt o.b.v. telling 1 okt. 2012 gefixeerd en vanaf 1 okt. 2015 gebruikt voor budgettering SWV.</t>
        </r>
      </text>
    </comment>
    <comment ref="F29" authorId="0" shapeId="0">
      <text>
        <r>
          <rPr>
            <sz val="9"/>
            <color indexed="81"/>
            <rFont val="Tahoma"/>
            <family val="2"/>
          </rPr>
          <t xml:space="preserve">
Percentage t.o.v. totaal aantal leerlingen wordt o.b.v. telling 1 okt. 2012 gefixeerd en vanaf 1 okt. 2015 gebruikt voor budgettering SWV.</t>
        </r>
      </text>
    </comment>
    <comment ref="F30" authorId="0" shapeId="0">
      <text>
        <r>
          <rPr>
            <sz val="9"/>
            <color indexed="81"/>
            <rFont val="Tahoma"/>
            <family val="2"/>
          </rPr>
          <t xml:space="preserve">
Aantal wordt o.b.v. telling 1 okt. 2012 gefixeerd.</t>
        </r>
      </text>
    </comment>
  </commentList>
</comments>
</file>

<file path=xl/comments10.xml><?xml version="1.0" encoding="utf-8"?>
<comments xmlns="http://schemas.openxmlformats.org/spreadsheetml/2006/main">
  <authors>
    <author>Auteur</author>
  </authors>
  <commentList>
    <comment ref="E8" authorId="0" shapeId="0">
      <text>
        <r>
          <rPr>
            <sz val="8"/>
            <color indexed="81"/>
            <rFont val="Tahoma"/>
            <family val="2"/>
          </rPr>
          <t xml:space="preserve">
hoeft niet te worden ingevuld</t>
        </r>
      </text>
    </comment>
  </commentList>
</comments>
</file>

<file path=xl/comments11.xml><?xml version="1.0" encoding="utf-8"?>
<comments xmlns="http://schemas.openxmlformats.org/spreadsheetml/2006/main">
  <authors>
    <author>Auteur</author>
  </authors>
  <commentList>
    <comment ref="E66" authorId="0" shapeId="0">
      <text>
        <r>
          <rPr>
            <sz val="9"/>
            <color indexed="81"/>
            <rFont val="Tahoma"/>
            <family val="2"/>
          </rPr>
          <t xml:space="preserve">
gemiddeld over 3 jaar</t>
        </r>
      </text>
    </comment>
    <comment ref="E67" authorId="0" shapeId="0">
      <text>
        <r>
          <rPr>
            <sz val="9"/>
            <color indexed="81"/>
            <rFont val="Tahoma"/>
            <family val="2"/>
          </rPr>
          <t xml:space="preserve">
Behalve het weerstandsvermogen is de kapitalisatiefactor (commissie Don) het kengetal dat ook door de inspectie wordt getoetst. Het oude begrip weerstandsvermogen in het VO vervult nog een nuttige functie  zolang de weerstandscapaciteit (commissie Don) nog niet in beeld is gebracht.
Voor het voortgezet onderwijs werd veelal de volgende definitie gehanteerd: (Eigen vermogen)/ Totale lasten. De streefwaarde bij dit kengetal is afhankelijk van het risicoprofiel van de organisatie, maar zou tenminste  5% moeten zijn. 
De situatie van een SWV Passend Onderwijs is echter volledig anders dan die van een VO-school. Zo heeft een SWV veelal weinig personeel in eigen dienst. Daarom zal voor het SWV een nieuwe definitie van het weerstandsvermogen ontwikkeld moeten worden.  
Voor het bepalen van de buffer van een SWV moet goed gekeken worden naar de specifieke situatie van het SWV (bijvoorbeeld: afspraken die gemaakt zijn met derden over inhuur personeel), de risico's zouden daarvan moeten worden ingeschat en op basis daarvan kan een buffervermogen bepaald worden voor dat specifieke SWV. Dit vereist dus een nadere analyse.</t>
        </r>
      </text>
    </comment>
    <comment ref="E68" authorId="0" shapeId="0">
      <text>
        <r>
          <rPr>
            <sz val="9"/>
            <color indexed="81"/>
            <rFont val="Tahoma"/>
            <family val="2"/>
          </rPr>
          <t xml:space="preserve">
Ook hierbij is de vraag naar de relevantie van dit kengetal voor een SWV aan de orde. Tzt zal hier nader naar gekeken moeten worden.</t>
        </r>
      </text>
    </comment>
  </commentList>
</comments>
</file>

<file path=xl/comments12.xml><?xml version="1.0" encoding="utf-8"?>
<comments xmlns="http://schemas.openxmlformats.org/spreadsheetml/2006/main">
  <authors>
    <author>Auteur</author>
  </authors>
  <commentList>
    <comment ref="D44" authorId="0" shapeId="0">
      <text>
        <r>
          <rPr>
            <sz val="8"/>
            <color indexed="81"/>
            <rFont val="Tahoma"/>
            <family val="2"/>
          </rPr>
          <t xml:space="preserve">
de solvabiliteit geeft aan in welke verhouding de bezittingen op de activazijde van de balans, zijn gefinancieerd met eigen- en/of vreemd vermogen.  De solvabiliteit geeft inzicht in het vermogen van de school om aan haar verplichtingen op de lange termijn te voldoen.</t>
        </r>
      </text>
    </comment>
    <comment ref="D48" authorId="0" shapeId="0">
      <text>
        <r>
          <rPr>
            <sz val="8"/>
            <color indexed="81"/>
            <rFont val="Tahoma"/>
            <family val="2"/>
          </rPr>
          <t xml:space="preserve">
de solvabiliteit geeft aan in welke verhouding de bezittingen op de activazijde van de balans incl. de voorzieningen, zijn gefinancieerd met eigen- en/of vreemd vermogen.  De solvabiliteit geeft inzicht in het vermogen van de school om aan haar verplichtingen op de lange termijn te voldoen.</t>
        </r>
      </text>
    </comment>
    <comment ref="D52" authorId="0" shapeId="0">
      <text>
        <r>
          <rPr>
            <sz val="8"/>
            <color indexed="81"/>
            <rFont val="Tahoma"/>
            <family val="2"/>
          </rPr>
          <t xml:space="preserve">
de liquiditeit geeft inzicht in het vermogen van de school om aan haar verplichtingen op de korte termijn te voldoen.</t>
        </r>
      </text>
    </comment>
    <comment ref="D56" authorId="0" shapeId="0">
      <text>
        <r>
          <rPr>
            <sz val="8"/>
            <color indexed="81"/>
            <rFont val="Tahoma"/>
            <family val="2"/>
          </rPr>
          <t xml:space="preserve">
de rentabiliteit geeft inzicht in de relatieve omvang van het resultaat. In hoeverre gaat er meer geld uit, dan er binnenkomt (zodat de reserves interen)</t>
        </r>
      </text>
    </comment>
    <comment ref="D60" authorId="0" shapeId="0">
      <text>
        <r>
          <rPr>
            <sz val="8"/>
            <color indexed="81"/>
            <rFont val="Tahoma"/>
            <family val="2"/>
          </rPr>
          <t xml:space="preserve">
Dit percentage geeft inzicht in de capaciteit om onvoorziene tegenvallers in de exploitatie op te vangen (Ernst&amp;Young, juli 2004). Dit omvang van dit percentage is afhankelijk van: (1) kwaliteit planning &amp; controlcyclus, (2) de mate waarin risico's gezamenlijk worden gedragen (3) gesignaleerde risico's</t>
        </r>
      </text>
    </comment>
  </commentList>
</comments>
</file>

<file path=xl/comments13.xml><?xml version="1.0" encoding="utf-8"?>
<comments xmlns="http://schemas.openxmlformats.org/spreadsheetml/2006/main">
  <authors>
    <author>Auteur</author>
  </authors>
  <commentList>
    <comment ref="D9" authorId="0" shapeId="0">
      <text>
        <r>
          <rPr>
            <sz val="9"/>
            <color indexed="81"/>
            <rFont val="Tahoma"/>
            <family val="2"/>
          </rPr>
          <t xml:space="preserve">
Tot 1 augustus 2014.</t>
        </r>
      </text>
    </comment>
    <comment ref="A15" authorId="0" shapeId="0">
      <text>
        <r>
          <rPr>
            <sz val="9"/>
            <color indexed="81"/>
            <rFont val="Tahoma"/>
            <family val="2"/>
          </rPr>
          <t xml:space="preserve">
Bron Besl Reg Zorgbudget art. 6. Stb. 2014, 95, d.d. 6 mrt. 2014. </t>
        </r>
      </text>
    </comment>
    <comment ref="D15" authorId="0" shapeId="0">
      <text>
        <r>
          <rPr>
            <sz val="9"/>
            <color indexed="81"/>
            <rFont val="Tahoma"/>
            <family val="2"/>
          </rPr>
          <t xml:space="preserve">
Vanaf 1 aug. 2014.</t>
        </r>
      </text>
    </comment>
    <comment ref="E15" authorId="0" shapeId="0">
      <text>
        <r>
          <rPr>
            <sz val="9"/>
            <color indexed="81"/>
            <rFont val="Tahoma"/>
            <family val="2"/>
          </rPr>
          <t xml:space="preserve">
Dit kalenderjaar is de bekostiging nog inclusief de materiële bekostiging.</t>
        </r>
      </text>
    </comment>
    <comment ref="F15" authorId="0" shapeId="0">
      <text>
        <r>
          <rPr>
            <sz val="9"/>
            <color indexed="81"/>
            <rFont val="Tahoma"/>
            <family val="2"/>
          </rPr>
          <t xml:space="preserve">
Bestaat uit personele bekostiging van € 80 (Stcrt 2015 nr. 37034, d.d. 28 okt. 2015) en materiële bekostiging € 14 (Regeling bekostiging exploitatiekosten VO 2016).</t>
        </r>
      </text>
    </comment>
    <comment ref="F16" authorId="0" shapeId="0">
      <text>
        <r>
          <rPr>
            <sz val="9"/>
            <color indexed="81"/>
            <rFont val="Tahoma"/>
            <family val="2"/>
          </rPr>
          <t xml:space="preserve">
Bestaat uit personele bekostiging van € 80 (Stcrt 2015 nr. 37034, d.d. 28 okt. 2015) en materiële bekostiging € 14 (Regeling bekostiging exploitatiekosten VO 2016).</t>
        </r>
      </text>
    </comment>
    <comment ref="A20" authorId="0" shapeId="0">
      <text>
        <r>
          <rPr>
            <sz val="9"/>
            <color indexed="81"/>
            <rFont val="Tahoma"/>
            <family val="2"/>
          </rPr>
          <t xml:space="preserve">
Berekening gebaseerd op ll-telling van 1 okt. 2013. Bedrag kan ook uit beschikking worden overgenomen.</t>
        </r>
      </text>
    </comment>
    <comment ref="E23" authorId="0" shapeId="0">
      <text>
        <r>
          <rPr>
            <sz val="9"/>
            <color indexed="81"/>
            <rFont val="Tahoma"/>
            <family val="2"/>
          </rPr>
          <t xml:space="preserve">
Bestaat uit personele bekostiging van € 4.100,39 (Stcrt 2015 nr. 37034, d.d. 28 okt. 2015) en materiële bekostiging € 174,86 (Regeling bekostiging exploitatiekosten VO 2016).</t>
        </r>
      </text>
    </comment>
    <comment ref="E24" authorId="0" shapeId="0">
      <text>
        <r>
          <rPr>
            <sz val="9"/>
            <color indexed="81"/>
            <rFont val="Tahoma"/>
            <family val="2"/>
          </rPr>
          <t xml:space="preserve">
Bestaat uit personele bekostiging van € 4.100,39 (Stcrt 2015 nr. 37034, d.d. 28 okt. 2015) en materiële bekostiging € 174,86 (Regeling bekostiging exploitatiekosten VO 2016).</t>
        </r>
      </text>
    </comment>
    <comment ref="D26" authorId="0" shapeId="0">
      <text>
        <r>
          <rPr>
            <sz val="9"/>
            <color indexed="81"/>
            <rFont val="Tahoma"/>
            <family val="2"/>
          </rPr>
          <t xml:space="preserve">
Niveau 2015, Stcrt 2014 nr. 33754, 27 november 2014. </t>
        </r>
      </text>
    </comment>
    <comment ref="F26" authorId="0" shapeId="0">
      <text>
        <r>
          <rPr>
            <sz val="9"/>
            <color indexed="81"/>
            <rFont val="Tahoma"/>
            <family val="2"/>
          </rPr>
          <t xml:space="preserve">
Stcrt. 2013, nr 34109, d.d. 8 dec 2013.</t>
        </r>
      </text>
    </comment>
    <comment ref="E33" authorId="0" shapeId="0">
      <text>
        <r>
          <rPr>
            <sz val="9"/>
            <color indexed="81"/>
            <rFont val="Tahoma"/>
            <family val="2"/>
          </rPr>
          <t xml:space="preserve">
Bestaat uit personele bekostiging van € 4.100,39 (Stcrt 2015 nr. 37034, d.d. 28 okt. 2015) en materiële bekostiging € 174,86 (Regeling bekostiging exploitatiekosten VO 2016).</t>
        </r>
      </text>
    </comment>
    <comment ref="E34" authorId="0" shapeId="0">
      <text>
        <r>
          <rPr>
            <sz val="9"/>
            <color indexed="81"/>
            <rFont val="Tahoma"/>
            <family val="2"/>
          </rPr>
          <t xml:space="preserve">
Bestaat uit personele bekostiging van € 4.100,39 (Stcrt 2015 nr. 37034, d.d. 28 okt. 2015) en materiële bekostiging € 174,86 (Regeling bekostiging exploitatiekosten VO 2016).</t>
        </r>
      </text>
    </comment>
    <comment ref="A37" authorId="0" shapeId="0">
      <text>
        <r>
          <rPr>
            <sz val="9"/>
            <color indexed="81"/>
            <rFont val="Tahoma"/>
            <family val="2"/>
          </rPr>
          <t xml:space="preserve">
Bedragen P niveau 15-16 en bedragen M niveau 2016, opgave OCW en Regeling bekostiging personeel PO van 26okt2015 met bijstelling i.v.m. EMB-regeling (Stcrt 2015 nr. 19108 d.d. 10 juli 2015.</t>
        </r>
      </text>
    </comment>
    <comment ref="C39" authorId="0" shapeId="0">
      <text>
        <r>
          <rPr>
            <b/>
            <sz val="9"/>
            <color indexed="81"/>
            <rFont val="Tahoma"/>
            <family val="2"/>
          </rPr>
          <t xml:space="preserve">
</t>
        </r>
        <r>
          <rPr>
            <sz val="9"/>
            <color indexed="81"/>
            <rFont val="Tahoma"/>
            <family val="2"/>
          </rPr>
          <t>Bron Form Besl WVO art. 3a.
Stb 2014 nr 95, d.d. 6 maart 2014.</t>
        </r>
      </text>
    </comment>
    <comment ref="D62" authorId="0" shapeId="0">
      <text>
        <r>
          <rPr>
            <sz val="8"/>
            <color indexed="81"/>
            <rFont val="Tahoma"/>
            <family val="2"/>
          </rPr>
          <t xml:space="preserve">
oude groeiregeling van 16 jan. 2014 is nog van toepassing voor 2014/15. </t>
        </r>
      </text>
    </comment>
    <comment ref="E62" authorId="0" shapeId="0">
      <text>
        <r>
          <rPr>
            <sz val="9"/>
            <color indexed="81"/>
            <rFont val="Tahoma"/>
            <family val="2"/>
          </rPr>
          <t xml:space="preserve">
Prijspeil 26okt2015</t>
        </r>
      </text>
    </comment>
    <comment ref="F62" authorId="0" shapeId="0">
      <text>
        <r>
          <rPr>
            <sz val="9"/>
            <color indexed="81"/>
            <rFont val="Tahoma"/>
            <family val="2"/>
          </rPr>
          <t xml:space="preserve">
Prijspeil 2016-2017.</t>
        </r>
      </text>
    </comment>
    <comment ref="D67" authorId="0" shapeId="0">
      <text>
        <r>
          <rPr>
            <sz val="8"/>
            <color indexed="81"/>
            <rFont val="Tahoma"/>
            <family val="2"/>
          </rPr>
          <t xml:space="preserve">
Geldt nog 'oude' regeling voor 2014 voor (V)SO. </t>
        </r>
      </text>
    </comment>
    <comment ref="G67" authorId="0" shapeId="0">
      <text>
        <r>
          <rPr>
            <sz val="9"/>
            <color indexed="81"/>
            <rFont val="Tahoma"/>
            <family val="2"/>
          </rPr>
          <t xml:space="preserve">
Betreft indexering 2016 voor VSO materieel plus verhoging i.v.m. overdracht verantwoordelijkheid buitenonderhoud.</t>
        </r>
      </text>
    </comment>
    <comment ref="A74" authorId="0" shapeId="0">
      <text>
        <r>
          <rPr>
            <sz val="9"/>
            <color indexed="81"/>
            <rFont val="Tahoma"/>
            <family val="2"/>
          </rPr>
          <t xml:space="preserve">
Ontleend aan opgave OWC lumpsum maart 2014.</t>
        </r>
      </text>
    </comment>
    <comment ref="A77" authorId="0" shapeId="0">
      <text>
        <r>
          <rPr>
            <sz val="9"/>
            <color indexed="81"/>
            <rFont val="Tahoma"/>
            <family val="2"/>
          </rPr>
          <t xml:space="preserve">
Dit bedrag per leerling is afgestemd op bedrag per reguliere leerling. Ondersteuningsdeel is verwerkt in bedrag van elke categorie ondersteuning.</t>
        </r>
      </text>
    </comment>
    <comment ref="E81" authorId="0" shapeId="0">
      <text>
        <r>
          <rPr>
            <sz val="9"/>
            <color indexed="81"/>
            <rFont val="Tahoma"/>
            <family val="2"/>
          </rPr>
          <t xml:space="preserve">
Prijsindexering met 1,551%.</t>
        </r>
      </text>
    </comment>
    <comment ref="D84" authorId="0" shapeId="0">
      <text>
        <r>
          <rPr>
            <sz val="8"/>
            <color indexed="81"/>
            <rFont val="Tahoma"/>
            <family val="2"/>
          </rPr>
          <t xml:space="preserve">
Geldt nog 'oude' regeling voor 2014 voor (V)SO. </t>
        </r>
      </text>
    </comment>
    <comment ref="E84" authorId="0" shapeId="0">
      <text>
        <r>
          <rPr>
            <sz val="9"/>
            <color indexed="81"/>
            <rFont val="Tahoma"/>
            <family val="2"/>
          </rPr>
          <t xml:space="preserve">
MI bekostiging sept 2014.</t>
        </r>
      </text>
    </comment>
    <comment ref="G84" authorId="0" shapeId="0">
      <text>
        <r>
          <rPr>
            <sz val="9"/>
            <color indexed="81"/>
            <rFont val="Tahoma"/>
            <family val="2"/>
          </rPr>
          <t xml:space="preserve">
Betreft indexering 2016 voor VSO materieel plus verhoging i.v.m. overdracht verantwoordelijkheid buitenonderhoud.</t>
        </r>
      </text>
    </comment>
    <comment ref="D87" authorId="0" shapeId="0">
      <text>
        <r>
          <rPr>
            <sz val="9"/>
            <color indexed="81"/>
            <rFont val="Tahoma"/>
            <family val="2"/>
          </rPr>
          <t xml:space="preserve">
Definitieve bedragen 2014-15; 
Stcrt. 2015, nr 31569, d.d. 28 sept. 2015.</t>
        </r>
      </text>
    </comment>
    <comment ref="E87" authorId="0" shapeId="0">
      <text>
        <r>
          <rPr>
            <sz val="9"/>
            <color indexed="81"/>
            <rFont val="Tahoma"/>
            <family val="2"/>
          </rPr>
          <t xml:space="preserve">
Voorlopige bedragen niveau okt 2015.</t>
        </r>
      </text>
    </comment>
    <comment ref="A101" authorId="0" shapeId="0">
      <text>
        <r>
          <rPr>
            <sz val="9"/>
            <color indexed="81"/>
            <rFont val="Tahoma"/>
            <family val="2"/>
          </rPr>
          <t xml:space="preserve">
In deze opgave WG-lasten zijn de hogere kosten als gevolg van de inkorting schalen, de schaaluitlooptoeslag en de hogere premies sociale zekerheid geraamd. Ieder bestuur dient op basis van historische gegevens de raming zelf te bepalen.
Daarom kan volstaan worden met één salaristabel. De kosten ziektevervanging en uitkeringskosten zijn hier </t>
        </r>
        <r>
          <rPr>
            <b/>
            <u/>
            <sz val="9"/>
            <color indexed="81"/>
            <rFont val="Tahoma"/>
            <family val="2"/>
          </rPr>
          <t>niet</t>
        </r>
        <r>
          <rPr>
            <sz val="9"/>
            <color indexed="81"/>
            <rFont val="Tahoma"/>
            <family val="2"/>
          </rPr>
          <t xml:space="preserve"> in verwerkt.
</t>
        </r>
      </text>
    </comment>
    <comment ref="D115" authorId="0" shapeId="0">
      <text>
        <r>
          <rPr>
            <sz val="9"/>
            <color indexed="81"/>
            <rFont val="Tahoma"/>
            <family val="2"/>
          </rPr>
          <t xml:space="preserve">
Bedragen voor 14/15 zijn de definitieve bedragen van 28 sept. 2015.</t>
        </r>
      </text>
    </comment>
    <comment ref="E115" authorId="0" shapeId="0">
      <text>
        <r>
          <rPr>
            <sz val="9"/>
            <color indexed="81"/>
            <rFont val="Tahoma"/>
            <family val="2"/>
          </rPr>
          <t xml:space="preserve">
Bedragen voor 15/16: Reg bek PO 26okt2015, art. 27.</t>
        </r>
      </text>
    </comment>
    <comment ref="C125" authorId="0" shapeId="0">
      <text>
        <r>
          <rPr>
            <sz val="9"/>
            <color indexed="81"/>
            <rFont val="Tahoma"/>
            <family val="2"/>
          </rPr>
          <t xml:space="preserve">
Bedragen voor 14/15 zijn de definitieve bedragen van 28 sept.2015 (art. 30).</t>
        </r>
      </text>
    </comment>
    <comment ref="D125" authorId="0" shapeId="0">
      <text>
        <r>
          <rPr>
            <sz val="9"/>
            <color indexed="81"/>
            <rFont val="Tahoma"/>
            <family val="2"/>
          </rPr>
          <t xml:space="preserve">
Def bedr Reg Bek PO 28sept2015, art. 20.</t>
        </r>
      </text>
    </comment>
    <comment ref="C133" authorId="0" shapeId="0">
      <text>
        <r>
          <rPr>
            <sz val="9"/>
            <color indexed="81"/>
            <rFont val="Tahoma"/>
            <family val="2"/>
          </rPr>
          <t xml:space="preserve">
Bedragen voor 14/15 zijn de definitieve bedragen van 28 sept. 2015 (art. 30).</t>
        </r>
      </text>
    </comment>
    <comment ref="C141" authorId="0" shapeId="0">
      <text>
        <r>
          <rPr>
            <sz val="10"/>
            <color indexed="81"/>
            <rFont val="Tahoma"/>
            <family val="2"/>
          </rPr>
          <t xml:space="preserve">
CAO VO 2014, GPL 2014 en aanpassing min. loon.
</t>
        </r>
      </text>
    </comment>
    <comment ref="C164" authorId="0" shapeId="0">
      <text>
        <r>
          <rPr>
            <sz val="9"/>
            <color indexed="81"/>
            <rFont val="Tahoma"/>
            <family val="2"/>
          </rPr>
          <t xml:space="preserve">
Min. loon per 1-7-2014.At-2 wordt (At-1 + 1-0)/2 
(C249+C232)/2</t>
        </r>
      </text>
    </comment>
    <comment ref="C170" authorId="0" shapeId="0">
      <text>
        <r>
          <rPr>
            <sz val="10"/>
            <color indexed="81"/>
            <rFont val="Tahoma"/>
            <family val="2"/>
          </rPr>
          <t xml:space="preserve">
CAO VO 2014, GPL 2014 en aanpassing min. loon niveau 1 juli 2015.
</t>
        </r>
      </text>
    </comment>
    <comment ref="C193" authorId="0" shapeId="0">
      <text>
        <r>
          <rPr>
            <sz val="9"/>
            <color indexed="81"/>
            <rFont val="Tahoma"/>
            <family val="2"/>
          </rPr>
          <t xml:space="preserve">
Min. loon per 1-1-2015.At-2 wordt (At-1 + 1-0)/2 
(C249+C232)/2</t>
        </r>
      </text>
    </comment>
    <comment ref="C199" authorId="0" shapeId="0">
      <text>
        <r>
          <rPr>
            <sz val="10"/>
            <color indexed="81"/>
            <rFont val="Tahoma"/>
            <family val="2"/>
          </rPr>
          <t xml:space="preserve">
CAO VO 2014, GPL 2014 en aanpassing min. loon niveau 1 juli 2015.
</t>
        </r>
      </text>
    </comment>
    <comment ref="C222" authorId="0" shapeId="0">
      <text>
        <r>
          <rPr>
            <sz val="9"/>
            <color indexed="81"/>
            <rFont val="Tahoma"/>
            <family val="2"/>
          </rPr>
          <t xml:space="preserve">
Min. loon per 1-1-2015.At-2 wordt (At-1 + 1-0)/2 
(C249+C232)/2</t>
        </r>
      </text>
    </comment>
    <comment ref="G228" authorId="0" shapeId="0">
      <text>
        <r>
          <rPr>
            <sz val="9"/>
            <color indexed="81"/>
            <rFont val="Tahoma"/>
            <family val="2"/>
          </rPr>
          <t xml:space="preserve">
Verhoging bedragen loonpeil sept. 2015.</t>
        </r>
      </text>
    </comment>
    <comment ref="C251" authorId="0" shapeId="0">
      <text>
        <r>
          <rPr>
            <sz val="9"/>
            <color indexed="81"/>
            <rFont val="Tahoma"/>
            <family val="2"/>
          </rPr>
          <t xml:space="preserve">
Min. loon per 1-1-2015.At-2 wordt (At-1 + 1-0)/2 
(C249+C232)/2</t>
        </r>
      </text>
    </comment>
  </commentList>
</comments>
</file>

<file path=xl/comments14.xml><?xml version="1.0" encoding="utf-8"?>
<comments xmlns="http://schemas.openxmlformats.org/spreadsheetml/2006/main">
  <authors>
    <author>Auteur</author>
  </authors>
  <commentList>
    <comment ref="D32" authorId="0" shapeId="0">
      <text>
        <r>
          <rPr>
            <sz val="9"/>
            <color indexed="81"/>
            <rFont val="Tahoma"/>
            <family val="2"/>
          </rPr>
          <t xml:space="preserve">
Excl. kosten vervanging en uitkeringslasten van gemiddeld ongeveer 6%.</t>
        </r>
      </text>
    </comment>
    <comment ref="D42" authorId="0" shapeId="0">
      <text>
        <r>
          <rPr>
            <sz val="9"/>
            <color indexed="81"/>
            <rFont val="Tahoma"/>
            <family val="2"/>
          </rPr>
          <t xml:space="preserve">
Excl. kosten vervanging en uitkeringslasten van gemiddeld ongeveer 6%.</t>
        </r>
      </text>
    </comment>
  </commentList>
</comments>
</file>

<file path=xl/comments2.xml><?xml version="1.0" encoding="utf-8"?>
<comments xmlns="http://schemas.openxmlformats.org/spreadsheetml/2006/main">
  <authors>
    <author>Auteur</author>
  </authors>
  <commentList>
    <comment ref="E22" authorId="0" shapeId="0">
      <text>
        <r>
          <rPr>
            <sz val="9"/>
            <color indexed="81"/>
            <rFont val="Tahoma"/>
            <family val="2"/>
          </rPr>
          <t xml:space="preserve">
Dit betreft alle besturen in het SWV, ook die van het VSO.</t>
        </r>
      </text>
    </comment>
    <comment ref="E37" authorId="0" shapeId="0">
      <text>
        <r>
          <rPr>
            <sz val="9"/>
            <color indexed="81"/>
            <rFont val="Tahoma"/>
            <family val="2"/>
          </rPr>
          <t xml:space="preserve">
Dit betreft alle besturen in het SWV, ook die van het VSO.</t>
        </r>
      </text>
    </comment>
  </commentList>
</comments>
</file>

<file path=xl/comments3.xml><?xml version="1.0" encoding="utf-8"?>
<comments xmlns="http://schemas.openxmlformats.org/spreadsheetml/2006/main">
  <authors>
    <author>Auteur</author>
  </authors>
  <commentList>
    <comment ref="I11" authorId="0" shapeId="0">
      <text>
        <r>
          <rPr>
            <sz val="9"/>
            <color indexed="81"/>
            <rFont val="Tahoma"/>
            <family val="2"/>
          </rPr>
          <t xml:space="preserve">
Sinds mei 2014 worden deze bedragen uitgesplitst in het personele en het materiele deel. De laatste opgave van OCW 2014-2015 moet hier worden ingevuld.</t>
        </r>
      </text>
    </comment>
    <comment ref="D24" authorId="0" shapeId="0">
      <text>
        <r>
          <rPr>
            <sz val="9"/>
            <color indexed="81"/>
            <rFont val="Tahoma"/>
            <family val="2"/>
          </rPr>
          <t xml:space="preserve">
Opgave conform beschikking DUO.</t>
        </r>
      </text>
    </comment>
    <comment ref="D25" authorId="0" shapeId="0">
      <text>
        <r>
          <rPr>
            <sz val="9"/>
            <color indexed="81"/>
            <rFont val="Tahoma"/>
            <family val="2"/>
          </rPr>
          <t xml:space="preserve">
Opgave conform beschikking DUO.</t>
        </r>
      </text>
    </comment>
    <comment ref="D26" authorId="0" shapeId="0">
      <text>
        <r>
          <rPr>
            <sz val="9"/>
            <color indexed="81"/>
            <rFont val="Tahoma"/>
            <family val="2"/>
          </rPr>
          <t xml:space="preserve">
Opgave conform beschikking DUO.</t>
        </r>
      </text>
    </comment>
    <comment ref="F32" authorId="0" shapeId="0">
      <text>
        <r>
          <rPr>
            <sz val="9"/>
            <color indexed="81"/>
            <rFont val="Tahoma"/>
            <family val="2"/>
          </rPr>
          <t xml:space="preserve">
1 staat voor categorie laag en de ondersteuningsbekostiging is afgeleid van de gemiddelde kosten ondersteuning van de schoolsoorten ZMLK, LZsomatisch en cluster 4.</t>
        </r>
      </text>
    </comment>
    <comment ref="F33" authorId="0" shapeId="0">
      <text>
        <r>
          <rPr>
            <sz val="9"/>
            <color indexed="81"/>
            <rFont val="Tahoma"/>
            <family val="2"/>
          </rPr>
          <t xml:space="preserve">
2 staat voor categorie middel en de ondersteuningsbekostiging is afgeleid van de gemiddelde kosten ondersteuning van de schoolsoort Lichamelijk gehandicapt (LG).</t>
        </r>
      </text>
    </comment>
    <comment ref="F34" authorId="0" shapeId="0">
      <text>
        <r>
          <rPr>
            <sz val="9"/>
            <color indexed="81"/>
            <rFont val="Tahoma"/>
            <family val="2"/>
          </rPr>
          <t xml:space="preserve">
3 staat voor categorie hoog en de ondersteuningsbekostiging is afgeleid van de gemiddelde kosten ondersteuning van de schoolsoort Meervoudig Gehandicapt (MG) en betreft LG + ZMLK.</t>
        </r>
      </text>
    </comment>
    <comment ref="D64" authorId="0" shapeId="0">
      <text>
        <r>
          <rPr>
            <sz val="9"/>
            <color indexed="81"/>
            <rFont val="Tahoma"/>
            <family val="2"/>
          </rPr>
          <t xml:space="preserve">
Het betreft hier het aantal leerlingen van de VSO-school dat uitsluitend aan dit samenwerkingsverband wordt toegerekend.</t>
        </r>
      </text>
    </comment>
    <comment ref="D6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7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7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8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8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9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9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0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0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1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1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2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2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3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3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4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4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5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5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6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6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7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7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8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8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9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9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0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0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1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1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2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2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34"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39" authorId="0" shape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List>
</comments>
</file>

<file path=xl/comments4.xml><?xml version="1.0" encoding="utf-8"?>
<comments xmlns="http://schemas.openxmlformats.org/spreadsheetml/2006/main">
  <authors>
    <author>Auteur</author>
  </authors>
  <commentList>
    <comment ref="D21" authorId="0" shapeId="0">
      <text>
        <r>
          <rPr>
            <sz val="9"/>
            <color indexed="81"/>
            <rFont val="Tahoma"/>
            <family val="2"/>
          </rPr>
          <t xml:space="preserve">
Zie pg. 20 Regeling bekostiging personeel PO  2015-2016 van 26 okt. 2015 betr. index OP.</t>
        </r>
      </text>
    </comment>
    <comment ref="D37" authorId="0" shapeId="0">
      <text>
        <r>
          <rPr>
            <sz val="9"/>
            <color indexed="81"/>
            <rFont val="Tahoma"/>
            <family val="2"/>
          </rPr>
          <t xml:space="preserve">
Zie pg. 20 Regeling bekostiging personeel PO  2015-2016 van 26 okt. 2015 betr. index OP.</t>
        </r>
      </text>
    </comment>
    <comment ref="D53" authorId="0" shapeId="0">
      <text>
        <r>
          <rPr>
            <sz val="9"/>
            <color indexed="81"/>
            <rFont val="Tahoma"/>
            <family val="2"/>
          </rPr>
          <t xml:space="preserve">
Zie pg. 20 Regeling bekostiging personeel PO  2015-2016 van 26 okt. 2015 betr. index OP.</t>
        </r>
      </text>
    </comment>
    <comment ref="D55" authorId="0" shapeId="0">
      <text>
        <r>
          <rPr>
            <sz val="9"/>
            <color indexed="81"/>
            <rFont val="Tahoma"/>
            <family val="2"/>
          </rPr>
          <t xml:space="preserve">
Opgave OCW</t>
        </r>
      </text>
    </comment>
    <comment ref="C60" authorId="0" shape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D68" authorId="0" shapeId="0">
      <text>
        <r>
          <rPr>
            <sz val="9"/>
            <color indexed="81"/>
            <rFont val="Tahoma"/>
            <family val="2"/>
          </rPr>
          <t xml:space="preserve">
Dit is het budget AB dat in 2014-2015 aan het VSO wordt toegekend en waarop het SWV trekkingsrechten heeft. Dit is een deel van het budget in 2015-2016 waarvoor de herbestedingsverplichting conform het tripartite akkoord geldt van het SWV bij het VSO, rekening houdend met overname personeel en natuurlijk verloop, en de behoefte van het SWV aan deze expertise.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D76" authorId="0" shapeId="0">
      <text>
        <r>
          <rPr>
            <sz val="9"/>
            <color indexed="81"/>
            <rFont val="Tahoma"/>
            <family val="2"/>
          </rPr>
          <t xml:space="preserve">
Het budget PAB dat in het schooljaar 2014/15 is toegekend aan het SO als personele bekostiging valt in principe ook onder het budget AB waarvoor de herbestedingsverplichting conform het tripartiteakkoord geldt. Dit budget varieert per leerling per schoolsoort. De herbestedingsverplichtingen hebben </t>
        </r>
        <r>
          <rPr>
            <b/>
            <sz val="9"/>
            <color indexed="81"/>
            <rFont val="Tahoma"/>
            <family val="2"/>
          </rPr>
          <t>alleen</t>
        </r>
        <r>
          <rPr>
            <sz val="9"/>
            <color indexed="81"/>
            <rFont val="Tahoma"/>
            <family val="2"/>
          </rPr>
          <t xml:space="preserve"> betrekking op de personele bekostiging. De benodigde gegevens zijn te vinden in de sheets voor 2014-2015 die op de website van passendonderwijs.nl hebben gestaan.</t>
        </r>
      </text>
    </comment>
    <comment ref="D85" authorId="0" shapeId="0">
      <text>
        <r>
          <rPr>
            <sz val="9"/>
            <color indexed="81"/>
            <rFont val="Tahoma"/>
            <family val="2"/>
          </rPr>
          <t xml:space="preserve">
In het budget personeels- en arbeidsmarktbeleid zit een component AB dat voor iedere leerling VSO die teruggeplaatst is naar het reguliere onderwijs wordt toegekend. Ook dit budget valt in principe ook onder de herbestedingsverplichting conform het tripartite akkoord. De herbestedingsverplichtingen hebben </t>
        </r>
        <r>
          <rPr>
            <b/>
            <sz val="9"/>
            <color indexed="81"/>
            <rFont val="Tahoma"/>
            <family val="2"/>
          </rPr>
          <t>alleen</t>
        </r>
        <r>
          <rPr>
            <sz val="9"/>
            <color indexed="81"/>
            <rFont val="Tahoma"/>
            <family val="2"/>
          </rPr>
          <t xml:space="preserve"> betrekking op de personele bekostiging.
</t>
        </r>
      </text>
    </comment>
    <comment ref="D87" authorId="0" shapeId="0">
      <text>
        <r>
          <rPr>
            <sz val="9"/>
            <color indexed="81"/>
            <rFont val="Tahoma"/>
            <family val="2"/>
          </rPr>
          <t xml:space="preserve">
Dit is het </t>
        </r>
        <r>
          <rPr>
            <b/>
            <sz val="9"/>
            <color indexed="81"/>
            <rFont val="Tahoma"/>
            <family val="2"/>
          </rPr>
          <t>maximale</t>
        </r>
        <r>
          <rPr>
            <sz val="9"/>
            <color indexed="81"/>
            <rFont val="Tahoma"/>
            <family val="2"/>
          </rPr>
          <t xml:space="preserve"> budget waarvoor de herbestedingsverplichting geldt conform het tripartite akkoord en waaraan het SWV behoefte heeft tot overname/gebruik van deze expertise. De wijze van berekenen van PAB als onderdeel van de herbestedingsverplichting is niet vastgelegd. Hier wordt de maximale variant gehanteerd waarvoor de herbestedingsverplichting </t>
        </r>
        <r>
          <rPr>
            <u/>
            <sz val="9"/>
            <color indexed="81"/>
            <rFont val="Tahoma"/>
            <family val="2"/>
          </rPr>
          <t>kan</t>
        </r>
        <r>
          <rPr>
            <sz val="9"/>
            <color indexed="81"/>
            <rFont val="Tahoma"/>
            <family val="2"/>
          </rPr>
          <t xml:space="preserve"> gelden. Overname van personeel en natuurlijk verloop vermindert deze herbestedingsverplichting. De herbestedingsverplichtingen hebben </t>
        </r>
        <r>
          <rPr>
            <b/>
            <sz val="9"/>
            <color indexed="81"/>
            <rFont val="Tahoma"/>
            <family val="2"/>
          </rPr>
          <t>alleen</t>
        </r>
        <r>
          <rPr>
            <sz val="9"/>
            <color indexed="81"/>
            <rFont val="Tahoma"/>
            <family val="2"/>
          </rPr>
          <t xml:space="preserve"> betrekking op de personele bekostiging.
</t>
        </r>
      </text>
    </comment>
    <comment ref="D88" authorId="0" shapeId="0">
      <text>
        <r>
          <rPr>
            <sz val="9"/>
            <color indexed="81"/>
            <rFont val="Tahoma"/>
            <family val="2"/>
          </rPr>
          <t xml:space="preserve">
Zie pg. 20 Regeling bekostiging personeel PO  2015-2016 van 26 okt. 2015 betr. index OP.</t>
        </r>
      </text>
    </comment>
  </commentList>
</comments>
</file>

<file path=xl/comments5.xml><?xml version="1.0" encoding="utf-8"?>
<comments xmlns="http://schemas.openxmlformats.org/spreadsheetml/2006/main">
  <authors>
    <author>Auteur</author>
  </authors>
  <commentList>
    <comment ref="M57" authorId="0" shapeId="0">
      <text>
        <r>
          <rPr>
            <sz val="9"/>
            <color indexed="81"/>
            <rFont val="Tahoma"/>
            <family val="2"/>
          </rPr>
          <t xml:space="preserve">
Voor bekostiging 2021 is bekostiging 2020 verwerkt.</t>
        </r>
      </text>
    </comment>
    <comment ref="D167" authorId="0" shapeId="0">
      <text>
        <r>
          <rPr>
            <sz val="9"/>
            <color indexed="81"/>
            <rFont val="Tahoma"/>
            <family val="2"/>
          </rPr>
          <t xml:space="preserve">
De kosten van de arrangementen is hier gesteld op het niveau van het schooldeel rugzakken o.b.v. 1 okt. 2013. Vul hier de echte kosten in.</t>
        </r>
      </text>
    </comment>
    <comment ref="D168" authorId="0" shape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herbestedingsverplichting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D175" authorId="0" shapeId="0">
      <text>
        <r>
          <rPr>
            <sz val="9"/>
            <color indexed="81"/>
            <rFont val="Tahoma"/>
            <family val="2"/>
          </rPr>
          <t xml:space="preserve">
Vul hier de uitkomst in die verkregen wordt uit de Kijkdoos SWV VO voor kalenderjaar 2015. Maak een raming voor de daaropvolgende jaren.</t>
        </r>
      </text>
    </comment>
    <comment ref="D179" authorId="0" shape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D186" authorId="0" shapeId="0">
      <text>
        <r>
          <rPr>
            <sz val="9"/>
            <color indexed="81"/>
            <rFont val="Tahoma"/>
            <family val="2"/>
          </rPr>
          <t xml:space="preserve">
De kosten van de arrangementen is hier gesteld op het niveau van het schooldeel rugzakken o.b.v. 1 okt. 2013. Vul hier de echte kosten in.</t>
        </r>
      </text>
    </comment>
  </commentList>
</comments>
</file>

<file path=xl/comments6.xml><?xml version="1.0" encoding="utf-8"?>
<comments xmlns="http://schemas.openxmlformats.org/spreadsheetml/2006/main">
  <authors>
    <author>Auteur</author>
  </authors>
  <commentList>
    <comment ref="F44" authorId="0" shapeId="0">
      <text>
        <r>
          <rPr>
            <sz val="9"/>
            <color indexed="81"/>
            <rFont val="Tahoma"/>
            <family val="2"/>
          </rPr>
          <t xml:space="preserve">
De ondersteuningsbekostiging van categorie 1 (laag) is afgeleid van de gemiddelde kosten ondersteuning van de schoolsoorten ZMLK, LZsomatisch en cluster 4.</t>
        </r>
      </text>
    </comment>
    <comment ref="F45" authorId="0" shapeId="0">
      <text>
        <r>
          <rPr>
            <sz val="9"/>
            <color indexed="81"/>
            <rFont val="Tahoma"/>
            <family val="2"/>
          </rPr>
          <t xml:space="preserve">
De ondersteuningsbekostiging van categorie 2 (middel) is afgeleid van de gemiddelde kosten ondersteuning van de schoolsoort Lichamelijk gehandicapt (LG).</t>
        </r>
      </text>
    </comment>
    <comment ref="F46" authorId="0" shapeId="0">
      <text>
        <r>
          <rPr>
            <sz val="9"/>
            <color indexed="81"/>
            <rFont val="Tahoma"/>
            <family val="2"/>
          </rPr>
          <t xml:space="preserve">
De ondersteuningsbekostiging van categorie 3 (hoog) is afgeleid van de gemiddelde kosten ondersteuning van de schoolsoort Meervoudig Gehandicapt (MG) en betreft LG + ZMLK.</t>
        </r>
      </text>
    </comment>
    <comment ref="F160" authorId="0" shapeId="0">
      <text>
        <r>
          <rPr>
            <sz val="9"/>
            <color indexed="81"/>
            <rFont val="Tahoma"/>
            <family val="2"/>
          </rPr>
          <t xml:space="preserve">
De ondersteuningsbekostiging van categorie 1 (laag) is afgeleid van de gemiddelde kosten ondersteuning van de schoolsoorten ZMLK, LZsomatisch en cluster 4.</t>
        </r>
      </text>
    </comment>
    <comment ref="F161" authorId="0" shapeId="0">
      <text>
        <r>
          <rPr>
            <sz val="9"/>
            <color indexed="81"/>
            <rFont val="Tahoma"/>
            <family val="2"/>
          </rPr>
          <t xml:space="preserve">
De ondersteuningsbekostiging van categorie 2 (middel) is afgeleid van de gemiddelde kosten ondersteuning van de schoolsoort Lichamelijk gehandicapt (LG).</t>
        </r>
      </text>
    </comment>
    <comment ref="F162" authorId="0" shapeId="0">
      <text>
        <r>
          <rPr>
            <sz val="9"/>
            <color indexed="81"/>
            <rFont val="Tahoma"/>
            <family val="2"/>
          </rPr>
          <t xml:space="preserve">
De ondersteuningsbekostiging van categorie 3 (hoog) is afgeleid van de gemiddelde kosten ondersteuning van de schoolsoort Meervoudig Gehandicapt (MG) en betreft LG + ZMLK.</t>
        </r>
      </text>
    </comment>
  </commentList>
</comments>
</file>

<file path=xl/comments7.xml><?xml version="1.0" encoding="utf-8"?>
<comments xmlns="http://schemas.openxmlformats.org/spreadsheetml/2006/main">
  <authors>
    <author>Auteur</author>
  </authors>
  <commentList>
    <comment ref="E13" authorId="0" shapeId="0">
      <text>
        <r>
          <rPr>
            <sz val="9"/>
            <color indexed="81"/>
            <rFont val="Tahoma"/>
            <family val="2"/>
          </rPr>
          <t xml:space="preserve">
Hier wordt het bedrag overgenomen dat ingevuld is in het werkblad 'pers' waar de uitkomst is opgenomen uit de Kijkdoos SWV VO voor kalenderjaar 2015 met een raming voor de daaropvolgende jaren.</t>
        </r>
      </text>
    </comment>
    <comment ref="E19" authorId="0" shapeId="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 ref="E26" authorId="0" shapeId="0">
      <text>
        <r>
          <rPr>
            <sz val="9"/>
            <color indexed="81"/>
            <rFont val="Tahoma"/>
            <family val="2"/>
          </rPr>
          <t xml:space="preserve">
Hier wordt het bedrag overgenomen dat ingevuld is in het werkblad 'mat' waar de uitkomst is opgenomen uit de Kijkdoos SWV VO voor kalenderjaar 2015 met een raming voor de daaropvolgende jaren.</t>
        </r>
      </text>
    </comment>
    <comment ref="E32" authorId="0" shapeId="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List>
</comments>
</file>

<file path=xl/comments8.xml><?xml version="1.0" encoding="utf-8"?>
<comments xmlns="http://schemas.openxmlformats.org/spreadsheetml/2006/main">
  <authors>
    <author>Auteur</author>
  </authors>
  <commentList>
    <comment ref="Q13" authorId="0" shapeId="0">
      <text>
        <r>
          <rPr>
            <sz val="9"/>
            <color indexed="81"/>
            <rFont val="Tahoma"/>
            <family val="2"/>
          </rPr>
          <t xml:space="preserve">
Over dit verlof moet de WG wel pensioenpremie betalen. Ook de WN moet pensioenpremie betalen.</t>
        </r>
      </text>
    </comment>
    <comment ref="T13" authorId="0" shapeId="0">
      <text>
        <r>
          <rPr>
            <sz val="9"/>
            <color indexed="81"/>
            <rFont val="Tahoma"/>
            <family val="2"/>
          </rPr>
          <t xml:space="preserve">
Dit is globaal berekend de te betalen WG-premie ABP.</t>
        </r>
      </text>
    </comment>
    <comment ref="Q45" authorId="0" shapeId="0">
      <text>
        <r>
          <rPr>
            <sz val="9"/>
            <color indexed="81"/>
            <rFont val="Tahoma"/>
            <family val="2"/>
          </rPr>
          <t xml:space="preserve">
Over dit verlof moet de WG wel pensioenpremie betalen. Ook de WN moet pensioenpremie betalen.</t>
        </r>
      </text>
    </comment>
    <comment ref="T45" authorId="0" shapeId="0">
      <text>
        <r>
          <rPr>
            <sz val="9"/>
            <color indexed="81"/>
            <rFont val="Tahoma"/>
            <family val="2"/>
          </rPr>
          <t xml:space="preserve">
Dit is globaal berekend de te betalen WG-premie ABP.</t>
        </r>
      </text>
    </comment>
    <comment ref="Q77" authorId="0" shapeId="0">
      <text>
        <r>
          <rPr>
            <sz val="9"/>
            <color indexed="81"/>
            <rFont val="Tahoma"/>
            <family val="2"/>
          </rPr>
          <t xml:space="preserve">
Over dit verlof moet de WG wel pensioenpremie betalen. Ook de WN moet pensioenpremie betalen.</t>
        </r>
      </text>
    </comment>
    <comment ref="T77" authorId="0" shapeId="0">
      <text>
        <r>
          <rPr>
            <sz val="9"/>
            <color indexed="81"/>
            <rFont val="Tahoma"/>
            <family val="2"/>
          </rPr>
          <t xml:space="preserve">
Dit is globaal berekend de te betalen WG-premie ABP.</t>
        </r>
      </text>
    </comment>
    <comment ref="Q109" authorId="0" shapeId="0">
      <text>
        <r>
          <rPr>
            <sz val="9"/>
            <color indexed="81"/>
            <rFont val="Tahoma"/>
            <family val="2"/>
          </rPr>
          <t xml:space="preserve">
Over dit verlof moet de WG wel pensioenpremie betalen. Ook de WN moet pensioenpremie betalen.</t>
        </r>
      </text>
    </comment>
    <comment ref="T109" authorId="0" shapeId="0">
      <text>
        <r>
          <rPr>
            <sz val="9"/>
            <color indexed="81"/>
            <rFont val="Tahoma"/>
            <family val="2"/>
          </rPr>
          <t xml:space="preserve">
Dit is globaal berekend de te betalen WG-premie ABP.</t>
        </r>
      </text>
    </comment>
    <comment ref="Q141" authorId="0" shapeId="0">
      <text>
        <r>
          <rPr>
            <sz val="9"/>
            <color indexed="81"/>
            <rFont val="Tahoma"/>
            <family val="2"/>
          </rPr>
          <t xml:space="preserve">
Over dit verlof moet de WG wel pensioenpremie betalen. Ook de WN moet pensioenpremie betalen.</t>
        </r>
      </text>
    </comment>
    <comment ref="T141" authorId="0" shapeId="0">
      <text>
        <r>
          <rPr>
            <sz val="9"/>
            <color indexed="81"/>
            <rFont val="Tahoma"/>
            <family val="2"/>
          </rPr>
          <t xml:space="preserve">
Dit is globaal berekend de te betalen WG-premie ABP.</t>
        </r>
      </text>
    </comment>
    <comment ref="Q173" authorId="0" shapeId="0">
      <text>
        <r>
          <rPr>
            <sz val="9"/>
            <color indexed="81"/>
            <rFont val="Tahoma"/>
            <family val="2"/>
          </rPr>
          <t xml:space="preserve">
Over dit verlof moet de WG wel pensioenpremie betalen. Ook de WN moet pensioenpremie betalen.</t>
        </r>
      </text>
    </comment>
    <comment ref="T173" authorId="0" shapeId="0">
      <text>
        <r>
          <rPr>
            <sz val="9"/>
            <color indexed="81"/>
            <rFont val="Tahoma"/>
            <family val="2"/>
          </rPr>
          <t xml:space="preserve">
Dit is globaal berekend de te betalen WG-premie ABP.</t>
        </r>
      </text>
    </comment>
    <comment ref="Q205" authorId="0" shapeId="0">
      <text>
        <r>
          <rPr>
            <sz val="9"/>
            <color indexed="81"/>
            <rFont val="Tahoma"/>
            <family val="2"/>
          </rPr>
          <t xml:space="preserve">
Over dit verlof moet de WG wel pensioenpremie betalen. Ook de WN moet pensioenpremie betalen.</t>
        </r>
      </text>
    </comment>
    <comment ref="T205" authorId="0" shapeId="0">
      <text>
        <r>
          <rPr>
            <sz val="9"/>
            <color indexed="81"/>
            <rFont val="Tahoma"/>
            <family val="2"/>
          </rPr>
          <t xml:space="preserve">
Dit is globaal berekend de te betalen WG-premie ABP.</t>
        </r>
      </text>
    </comment>
    <comment ref="Q237" authorId="0" shapeId="0">
      <text>
        <r>
          <rPr>
            <sz val="9"/>
            <color indexed="81"/>
            <rFont val="Tahoma"/>
            <family val="2"/>
          </rPr>
          <t xml:space="preserve">
Over dit verlof moet de WG wel pensioenpremie betalen. Ook de WN moet pensioenpremie betalen.</t>
        </r>
      </text>
    </comment>
    <comment ref="T237" authorId="0" shapeId="0">
      <text>
        <r>
          <rPr>
            <sz val="9"/>
            <color indexed="81"/>
            <rFont val="Tahoma"/>
            <family val="2"/>
          </rPr>
          <t xml:space="preserve">
Dit is globaal berekend de te betalen WG-premie ABP.</t>
        </r>
      </text>
    </comment>
    <comment ref="Q269" authorId="0" shapeId="0">
      <text>
        <r>
          <rPr>
            <sz val="9"/>
            <color indexed="81"/>
            <rFont val="Tahoma"/>
            <family val="2"/>
          </rPr>
          <t xml:space="preserve">
Over dit verlof moet de WG wel pensioenpremie betalen. Ook de WN moet pensioenpremie betalen.</t>
        </r>
      </text>
    </comment>
    <comment ref="T269" authorId="0" shapeId="0">
      <text>
        <r>
          <rPr>
            <sz val="9"/>
            <color indexed="81"/>
            <rFont val="Tahoma"/>
            <family val="2"/>
          </rPr>
          <t xml:space="preserve">
Dit is globaal berekend de te betalen WG-premie ABP.</t>
        </r>
      </text>
    </comment>
  </commentList>
</comments>
</file>

<file path=xl/comments9.xml><?xml version="1.0" encoding="utf-8"?>
<comments xmlns="http://schemas.openxmlformats.org/spreadsheetml/2006/main">
  <authors>
    <author>Auteur</author>
  </authors>
  <commentList>
    <comment ref="D157" authorId="0" shapeId="0">
      <text>
        <r>
          <rPr>
            <sz val="9"/>
            <color indexed="81"/>
            <rFont val="Tahoma"/>
            <family val="2"/>
          </rPr>
          <t xml:space="preserve">
Zie voor berekening werkblad 'overdracht VSO'.</t>
        </r>
      </text>
    </comment>
    <comment ref="D158" authorId="0" shapeId="0">
      <text>
        <r>
          <rPr>
            <sz val="9"/>
            <color indexed="81"/>
            <rFont val="Tahoma"/>
            <family val="2"/>
          </rPr>
          <t xml:space="preserve">
Vul hier de uitkomst in die verkregen wordt uit de Kijkdoos SWV VO voor kalenderjaar 2015. Maak een raming voor de daaropvolgende jaren.</t>
        </r>
      </text>
    </comment>
    <comment ref="O221" authorId="0" shapeId="0">
      <text>
        <r>
          <rPr>
            <sz val="9"/>
            <color indexed="81"/>
            <rFont val="Tahoma"/>
            <family val="2"/>
          </rPr>
          <t xml:space="preserve">
Omdat de gegevens van het laatste kalenderjaar  ontbreken zijn de bedragen van dit schooljaar gelijk gesteld aan het laatst beschikbare kalenderjaar.</t>
        </r>
      </text>
    </comment>
  </commentList>
</comments>
</file>

<file path=xl/sharedStrings.xml><?xml version="1.0" encoding="utf-8"?>
<sst xmlns="http://schemas.openxmlformats.org/spreadsheetml/2006/main" count="2363" uniqueCount="1032">
  <si>
    <t>vast</t>
  </si>
  <si>
    <t>leeftijdsafh.</t>
  </si>
  <si>
    <t>fte</t>
  </si>
  <si>
    <t>per leerling VSO</t>
  </si>
  <si>
    <t>Basisbedragen (V)SO Personeel</t>
  </si>
  <si>
    <t>Basisbedragen (V)SO Materieel</t>
  </si>
  <si>
    <t xml:space="preserve">WEC de gpl bedragen </t>
  </si>
  <si>
    <t>prijspeil</t>
  </si>
  <si>
    <t>Toeslag directie</t>
  </si>
  <si>
    <t xml:space="preserve">OOP </t>
  </si>
  <si>
    <t>OP leeftijdsgecorrigeerd : voet</t>
  </si>
  <si>
    <t>OP leeftijdsgecorrigeerd : bedrag * GGL</t>
  </si>
  <si>
    <t>per leerling</t>
  </si>
  <si>
    <t>VSO</t>
  </si>
  <si>
    <t>over te dragen Pers</t>
  </si>
  <si>
    <t>over te dragen Mat</t>
  </si>
  <si>
    <t>bijdrage besturen Pers</t>
  </si>
  <si>
    <t>bekostiging Mat aan SWV voor ZO</t>
  </si>
  <si>
    <t>bijdrage besturen Mat</t>
  </si>
  <si>
    <t>Werkblad 'geg LO'</t>
  </si>
  <si>
    <t xml:space="preserve">De kosten van personeelsleden - niet aangesteld bij het SWV - moeten geraamd worden. Het betreft dan werknemers die in dienst zijn bij een </t>
  </si>
  <si>
    <t>De kosten van personeel aangesteld bij het SWV worden in het werkblad loon SWV berekend en verwerkt.</t>
  </si>
  <si>
    <t>Werkblad 'geg ZO'</t>
  </si>
  <si>
    <t>Deze aantallen worden ontleend aan de opgave van het werkblad geg LO.</t>
  </si>
  <si>
    <t>geeft de berekening van het personele budget ZO dat - per school berekend - naar het samenwerkingsverband gaat.</t>
  </si>
  <si>
    <t xml:space="preserve"> </t>
  </si>
  <si>
    <t>2020/21</t>
  </si>
  <si>
    <t>BASISGEGEVENS LICHTE ONDERSTEUNING</t>
  </si>
  <si>
    <t>BASISGEGEVENS ZWARE ONDERSTEUNING</t>
  </si>
  <si>
    <t>Voor bepaling overgangsbudget SWV</t>
  </si>
  <si>
    <t>Overdrachtsverplichting personeel via DUO 1 okt T-1</t>
  </si>
  <si>
    <t>Overdrachtsverplichting materieel via DUO 1 okt T-1</t>
  </si>
  <si>
    <t>Rijksbijdragen OCW - lichte ondersteuning</t>
  </si>
  <si>
    <t xml:space="preserve">Rijksbijdragen OCW </t>
  </si>
  <si>
    <t xml:space="preserve">Personele lasten </t>
  </si>
  <si>
    <t>lichte ondersteuning</t>
  </si>
  <si>
    <t>zware ondersteuning</t>
  </si>
  <si>
    <t>PERSONEEL SAMENWERKINGSVERBAND</t>
  </si>
  <si>
    <t>Categorie</t>
  </si>
  <si>
    <t xml:space="preserve">Het instrument volgt de compartimentering van de lichte en de zware ondersteuning (LO resp. ZO) zoals die in de wet is vastgelegd. Daarom worden de </t>
  </si>
  <si>
    <t>baten en lasten steeds zo weergegeven en verwerkt dat het mogelijk is de ontwikkeling van de lichte en de zware ondersteuning afzonderlijk te volgen.</t>
  </si>
  <si>
    <t xml:space="preserve">Het beperkt zich tot alleen de begroting van het samenwerkingsverband. </t>
  </si>
  <si>
    <t xml:space="preserve">De hierna volgende toelichting bij de werkbladen heeft betrekking op de werkbladen met veelal het onderscheid Lichte Ondersteuning (LO) resp.  </t>
  </si>
  <si>
    <t>bekostiging SWV voor ZO voor Pers</t>
  </si>
  <si>
    <t>Zware Ondersteuning (ZO).</t>
  </si>
  <si>
    <t xml:space="preserve">Werkblad 'pers' </t>
  </si>
  <si>
    <t xml:space="preserve">Werkblad 'mat' </t>
  </si>
  <si>
    <t>Werkblad 'mip'</t>
  </si>
  <si>
    <t>Werkblad 'act'</t>
  </si>
  <si>
    <t>gegevens uit het meerjareninvesteringsplan (werkblad 'mip') automatisch verwerkt, evenals de afschrijvingsbedragen.</t>
  </si>
  <si>
    <t>Werkblad 'begr'</t>
  </si>
  <si>
    <t>In dit werkblad wordt de Staat van baten en lasten integraal weergegeven. Vrijwel alle gegevens worden ontleend aan de hiervoor ingevulde</t>
  </si>
  <si>
    <t xml:space="preserve">jaarrekening m.b.t. de staat van baten en lasten en de balans. </t>
  </si>
  <si>
    <t>Werkblad 'hlpbl' (verborgen)</t>
  </si>
  <si>
    <t xml:space="preserve">werkbladen. Alleen de gegevens omtrent de financiële baten en lasten moeten nog worden opgegeven. </t>
  </si>
  <si>
    <t>Werkblad 'bal'</t>
  </si>
  <si>
    <t>Daarnaast is het nodig om een liquiditeitenplanning te maken van maand tot maand zodat duidelijk is dat er altijd voldoende geld beschikbaar is.</t>
  </si>
  <si>
    <t>lichamelijk gehandicapte kinderen</t>
  </si>
  <si>
    <t>langdurig zieke kinderen met een lichamelijke handicap</t>
  </si>
  <si>
    <t>zeer moeilijk lerende kinderen</t>
  </si>
  <si>
    <t>meervoudig gehandicapte leerlingen</t>
  </si>
  <si>
    <t>aanvulling</t>
  </si>
  <si>
    <t>korting</t>
  </si>
  <si>
    <t>Lichte ondersteuning</t>
  </si>
  <si>
    <t>Zware ondersteuning</t>
  </si>
  <si>
    <t>BEGROTING SAMENWERKINGSVERBAND</t>
  </si>
  <si>
    <t>al dan niet in het verband deelnemend bevoegd gezag of op een andere wijze ingeschakeld worden. Daarvoor is dit hulpblad bedoeld.</t>
  </si>
  <si>
    <t>MATERIEEL SAMENWERKINGSVERBAND</t>
  </si>
  <si>
    <t>MEERJARENINVESTERINGSPLAN SAMENWERKINGSVERBAND</t>
  </si>
  <si>
    <t>ACTIVAOVERZICHT SAMENWERKINGSVERBAND</t>
  </si>
  <si>
    <t>MEERJARENBALANS SAMENWERKINGSVERBAND</t>
  </si>
  <si>
    <t>KASSTROOMOVERZICHT SAMENWERKINGSVERBAND</t>
  </si>
  <si>
    <t>bijdrage besturen Pers en Mat op schooljaarbasis</t>
  </si>
  <si>
    <t>bijdrage besturen Pers en Mat op kalenderjaarbasis</t>
  </si>
  <si>
    <t>Overgangsbudget</t>
  </si>
  <si>
    <t>LB = 1,00</t>
  </si>
  <si>
    <t>Verhoudingstabel</t>
  </si>
  <si>
    <t>Werktijdfactor</t>
  </si>
  <si>
    <t>Functie</t>
  </si>
  <si>
    <t>Gem Pers Last</t>
  </si>
  <si>
    <t>Naam werknemer</t>
  </si>
  <si>
    <t>P. Werknemer</t>
  </si>
  <si>
    <t>regel</t>
  </si>
  <si>
    <t>norm maandsalaris</t>
  </si>
  <si>
    <t>wtf x maandsalaris</t>
  </si>
  <si>
    <t>Opslagpercentage werkgeverslasten</t>
  </si>
  <si>
    <t>De indeling van de Staat van baten en lasten volgt nauwgezet de betreffende voorschriften omtrent de jaarrekening.</t>
  </si>
  <si>
    <t>Ook de Balans volgt de indeling conform de voorschriften voor de jaarrekening.</t>
  </si>
  <si>
    <t>Een dergelijke raming van kosten kan heel gedetailleerd (en tijdrovend) gebeuren, maar men kan ook een meer globale benadering kiezen.</t>
  </si>
  <si>
    <t xml:space="preserve">Het is sterk af te raden om loonkosten bij het samenwerkingsverband te laten declareren. Een duidelijke afspraak van te voren over de te betalen </t>
  </si>
  <si>
    <t>kosten geeft beide partijen duidelijkheid en zekerheid.</t>
  </si>
  <si>
    <t>Het werkblad geeft ook een overzicht van hetgeen is ingevuld als meerjareninvestering, de activa en de afschrijvingen.</t>
  </si>
  <si>
    <t>Werkblad 'toelichting'</t>
  </si>
  <si>
    <t xml:space="preserve">Geadviseerd wordt om kritisch te zijn ten aanzien van de omvang van de algemene reserve en slechts een omvang aan te houden die </t>
  </si>
  <si>
    <t>Administratienummer</t>
  </si>
  <si>
    <t>totaal</t>
  </si>
  <si>
    <t>Algemeen</t>
  </si>
  <si>
    <t>Wellicht overbodig te zeggen dat het verstandig is een beveiligd exemplaar achter de hand te houden.</t>
  </si>
  <si>
    <t>in Excel te veranderen.</t>
  </si>
  <si>
    <t>Bevat de toelichting zoals hiervoor is weergegeven.</t>
  </si>
  <si>
    <t>Directie</t>
  </si>
  <si>
    <t>OP (landelijk)</t>
  </si>
  <si>
    <t>Landelijke GGL =</t>
  </si>
  <si>
    <t>DA</t>
  </si>
  <si>
    <t>DB</t>
  </si>
  <si>
    <t>DBuit</t>
  </si>
  <si>
    <t>DC</t>
  </si>
  <si>
    <t>DCuit</t>
  </si>
  <si>
    <t>DD</t>
  </si>
  <si>
    <t>DE</t>
  </si>
  <si>
    <t>LB</t>
  </si>
  <si>
    <t>LC</t>
  </si>
  <si>
    <t>LD</t>
  </si>
  <si>
    <t>LE</t>
  </si>
  <si>
    <t>LIOa</t>
  </si>
  <si>
    <t>schaal</t>
  </si>
  <si>
    <t>Rijksbijdragen OCW</t>
  </si>
  <si>
    <t>Overige subsidies OCW</t>
  </si>
  <si>
    <t>Overige baten</t>
  </si>
  <si>
    <t>Afschrijvingen</t>
  </si>
  <si>
    <t>Huisvestingslasten</t>
  </si>
  <si>
    <t>Leermiddelen</t>
  </si>
  <si>
    <t>Financiële baten</t>
  </si>
  <si>
    <t>Financiële lasten</t>
  </si>
  <si>
    <t>Vaste activa</t>
  </si>
  <si>
    <t>Gebouwen en terreinen</t>
  </si>
  <si>
    <t>2021/22</t>
  </si>
  <si>
    <t>Inventaris en apparatuur</t>
  </si>
  <si>
    <t>Overige materiële vaste activa</t>
  </si>
  <si>
    <t>Vlottende activa</t>
  </si>
  <si>
    <t>Afspraken tussen SWV-en</t>
  </si>
  <si>
    <t>Lokaal onderwijsbeleid</t>
  </si>
  <si>
    <t>Het is mogelijk de beveiliging op te heffen zodat iemand met verstand van Excel de applicatie kan aanpassen.</t>
  </si>
  <si>
    <t xml:space="preserve">Voor zo'n globalere benadering kan men de raming voor kleine betrekkingen (bijvoorbeeld minder dan 0,25 fte) baseren op de GPL die </t>
  </si>
  <si>
    <t>Is gekozen voor een bepaalde omvang dan kan men hier snel berekenen wat de kosten op basis van de GPL van de functie LB wordt.</t>
  </si>
  <si>
    <t xml:space="preserve">Voor andere functies dan de functie LB vindt omrekening plaats m.b.v. een omrekentabel die gebaseerd is de verhoudingen van het </t>
  </si>
  <si>
    <t>Er is ook de mogelijkheid om de berekening gedetailleerd te maken waarbij de schaal en regelnummer precies wordt ingevoerd. Daarbij</t>
  </si>
  <si>
    <t>Het samenwerkingsverband hoeft er niet rijk van te worden, maar evenmin een schoolbestuur of andere werkgever.</t>
  </si>
  <si>
    <t>Het advies is om op een 'normale' wijze om te gaan met de vaststelling van deze kosten, namelijk door middel van overleg en onderhandeling.</t>
  </si>
  <si>
    <t xml:space="preserve">Op basis van de ingevoerde gegevens zijn de berekeningen uitgevoerd en kunnen bij de overige posten de verdere gegevens worden </t>
  </si>
  <si>
    <t>Reacties</t>
  </si>
  <si>
    <t xml:space="preserve">Voor reacties op dit programma houden we ons aanbevolen. </t>
  </si>
  <si>
    <t>ID1</t>
  </si>
  <si>
    <t>ID2</t>
  </si>
  <si>
    <t>ID3</t>
  </si>
  <si>
    <t>schooljaar</t>
  </si>
  <si>
    <t>situatie per</t>
  </si>
  <si>
    <t xml:space="preserve">Persoonsgegevens </t>
  </si>
  <si>
    <t>sofinr.</t>
  </si>
  <si>
    <t>naam</t>
  </si>
  <si>
    <t>functie</t>
  </si>
  <si>
    <t>dienst</t>
  </si>
  <si>
    <t>geboorte</t>
  </si>
  <si>
    <t>trede</t>
  </si>
  <si>
    <t>WTF</t>
  </si>
  <si>
    <t>loonkosten</t>
  </si>
  <si>
    <t>kosten</t>
  </si>
  <si>
    <t>diensttijd</t>
  </si>
  <si>
    <t xml:space="preserve">totaal </t>
  </si>
  <si>
    <t xml:space="preserve">jaren </t>
  </si>
  <si>
    <t>datum</t>
  </si>
  <si>
    <t>werkgeverslasten</t>
  </si>
  <si>
    <t xml:space="preserve">vs </t>
  </si>
  <si>
    <t>kalenderjaar</t>
  </si>
  <si>
    <t>activagroep</t>
  </si>
  <si>
    <t>omschrijving</t>
  </si>
  <si>
    <t>aantal /</t>
  </si>
  <si>
    <t>aanschafprijs</t>
  </si>
  <si>
    <t>jaar van</t>
  </si>
  <si>
    <t>afschrijvings-</t>
  </si>
  <si>
    <t>beslisregel</t>
  </si>
  <si>
    <t>aanschaf-</t>
  </si>
  <si>
    <t>afschrijving</t>
  </si>
  <si>
    <t>laatste</t>
  </si>
  <si>
    <t>eenheden</t>
  </si>
  <si>
    <t>(per eenheid)</t>
  </si>
  <si>
    <t>aanschaf</t>
  </si>
  <si>
    <t>termijn</t>
  </si>
  <si>
    <t>waarde</t>
  </si>
  <si>
    <t>per jaar</t>
  </si>
  <si>
    <t>investering</t>
  </si>
  <si>
    <t>Investeringen</t>
  </si>
  <si>
    <t>Waarde activa per 31-12</t>
  </si>
  <si>
    <t xml:space="preserve">Na invoering van persoonsgegevens, salarisgegevens en de werktijdfactor worden de totale loonkosten berekend. Daarbij wordt uitgegaan van </t>
  </si>
  <si>
    <t xml:space="preserve">De gegevens van het personeel worden voor de jaren daarna automatisch aangepast. Dat impliceert ook dat wanneer volgend jaar een nieuw </t>
  </si>
  <si>
    <t>latere jaren kan deze WTF dan overschreven worden en op de juiste omvang worden vastgesteld.</t>
  </si>
  <si>
    <t>Werkblad 'tab'</t>
  </si>
  <si>
    <t xml:space="preserve">Dit instrument levert de meerjarenbegroting voor het samenwerkingsverband. De indeling volgt daarbij de voorgeschreven indeling van de </t>
  </si>
  <si>
    <t>teldatum</t>
  </si>
  <si>
    <t>Financiële baten en lasten</t>
  </si>
  <si>
    <t>Activa</t>
  </si>
  <si>
    <t>Financiële kengetallen</t>
  </si>
  <si>
    <t>Solvabiliteit 1</t>
  </si>
  <si>
    <t>Liquiditeit</t>
  </si>
  <si>
    <t xml:space="preserve">In dit werkblad worden de gegevens in verband met de activa verwerkt. Na opgave van de beginstand van de activa worden de </t>
  </si>
  <si>
    <t>Overige overheidsbijdragen en -subsidies</t>
  </si>
  <si>
    <t xml:space="preserve">Overige baten </t>
  </si>
  <si>
    <t>baten werk in opdracht derden</t>
  </si>
  <si>
    <t xml:space="preserve">afspraken tussen SWV- en </t>
  </si>
  <si>
    <t xml:space="preserve">Totaal baten personeel </t>
  </si>
  <si>
    <t xml:space="preserve">Overige personele lasten </t>
  </si>
  <si>
    <t>Totaal lasten personeel</t>
  </si>
  <si>
    <t xml:space="preserve">Saldo personeel </t>
  </si>
  <si>
    <t>lokaal onderwijsbeleid</t>
  </si>
  <si>
    <t>Overige lasten</t>
  </si>
  <si>
    <t>Totaal lasten materieel</t>
  </si>
  <si>
    <t>Saldo materieel</t>
  </si>
  <si>
    <t>Totaal baten materieel</t>
  </si>
  <si>
    <t>College-, cursus-, les- en examengelden</t>
  </si>
  <si>
    <t>Baten werk in opdracht van derden</t>
  </si>
  <si>
    <t>Lasten</t>
  </si>
  <si>
    <t xml:space="preserve">Overige lasten </t>
  </si>
  <si>
    <t>Saldo baten en lasten</t>
  </si>
  <si>
    <t>Saldo fianciële baten en lasten</t>
  </si>
  <si>
    <t>Resultaat</t>
  </si>
  <si>
    <t xml:space="preserve">Rijksbijdragen  </t>
  </si>
  <si>
    <t>Lasten personeel</t>
  </si>
  <si>
    <t>Personeelslasten</t>
  </si>
  <si>
    <t>Leerlingprognose op teldatum</t>
  </si>
  <si>
    <t>Deelnamepercentages 1 oktober T-1</t>
  </si>
  <si>
    <t>Weerstandsvermogen (EV / totale lasten)</t>
  </si>
  <si>
    <t>Kredietinstellingen</t>
  </si>
  <si>
    <t>Overige langlopende schulden</t>
  </si>
  <si>
    <t>Crediteuren</t>
  </si>
  <si>
    <t>Ministerie van OCW</t>
  </si>
  <si>
    <t>Belastingen en premies sociale verzekeringen</t>
  </si>
  <si>
    <t>Schulden terzake pensioenen</t>
  </si>
  <si>
    <t>Overige kortlopende schulden</t>
  </si>
  <si>
    <t>Overlopende passiva</t>
  </si>
  <si>
    <t>Beginsaldo liquide middelen</t>
  </si>
  <si>
    <t>Kasstroom uit operationele activiteiten</t>
  </si>
  <si>
    <t>Mutaties werkkapitaal</t>
  </si>
  <si>
    <t>voorraden</t>
  </si>
  <si>
    <t>vorderingen</t>
  </si>
  <si>
    <t>effecten</t>
  </si>
  <si>
    <t>kortlopende schulden</t>
  </si>
  <si>
    <t>Mutaties voorzieningen</t>
  </si>
  <si>
    <t>Kasstroom uit investeringsactiviteiten</t>
  </si>
  <si>
    <t>Kasstroom uit financieringsactiviteiten</t>
  </si>
  <si>
    <t>Mutatie Liquide middelen</t>
  </si>
  <si>
    <t>mutatie Liquide middelen (balans)</t>
  </si>
  <si>
    <t>Eindsaldo liquide middelen</t>
  </si>
  <si>
    <t>liquiditeit (vlottende activa / kortlopende schulden)</t>
  </si>
  <si>
    <t>Grootboeknr.</t>
  </si>
  <si>
    <t>Passiva</t>
  </si>
  <si>
    <t>Activa totaal</t>
  </si>
  <si>
    <t>Algemene reserve</t>
  </si>
  <si>
    <t>Bestemmingsreserve 1</t>
  </si>
  <si>
    <t>Bestemmingsreserve 2</t>
  </si>
  <si>
    <t>Bestemmingsreserve 3</t>
  </si>
  <si>
    <t>Passiva totaal</t>
  </si>
  <si>
    <t>Normatieve Rijksbijdrage OCW</t>
  </si>
  <si>
    <t>HULPBLAD: KOSTEN VAN EEN FUNCTIE</t>
  </si>
  <si>
    <t xml:space="preserve">Globale (= normale) benadering </t>
  </si>
  <si>
    <t xml:space="preserve">Salarisgegevens per 1 augustus (na toekenning reguliere periodieke verhoging) </t>
  </si>
  <si>
    <t>Opzet van dit instrument</t>
  </si>
  <si>
    <t>2014/15</t>
  </si>
  <si>
    <t>Voorziening Jubilea</t>
  </si>
  <si>
    <t>Rentabiliteit</t>
  </si>
  <si>
    <t>2015/16</t>
  </si>
  <si>
    <t>teldatum leerlingen (t-1) per 1 oktober</t>
  </si>
  <si>
    <t xml:space="preserve">Baten  </t>
  </si>
  <si>
    <t>Baten</t>
  </si>
  <si>
    <t>Voorziening Groot Onderhoud</t>
  </si>
  <si>
    <t>35%-60%</t>
  </si>
  <si>
    <t>Investeringen materiële vaste activa</t>
  </si>
  <si>
    <t>Investeringen immateriële vaste activa</t>
  </si>
  <si>
    <t>Investeringen financiële vaste activa</t>
  </si>
  <si>
    <t>signalering</t>
  </si>
  <si>
    <t>0,5 tot 1,5</t>
  </si>
  <si>
    <t>0% - 5%</t>
  </si>
  <si>
    <t>Kapitalisatiefactor (bovengrens)</t>
  </si>
  <si>
    <t xml:space="preserve">De dotaties en kosten Jubilea lopen via de betreffende voorziening van de balans. </t>
  </si>
  <si>
    <t xml:space="preserve">In dit werkblad MeerjarenInvesteringsPlan worden de afschrijvingen bepaald die ten laste van de (materiële) exploitatie van het SWV </t>
  </si>
  <si>
    <t>In dit werkblad wordt het kasstroomoverzicht bijgehouden. Het geeft de informatie omtrent de ontwikkeling van de liquiditeit door de jaren heen.</t>
  </si>
  <si>
    <t>bekostiging minus kosten 1 okt T-1 Pers</t>
  </si>
  <si>
    <t>overdracht obv peildatum Pers</t>
  </si>
  <si>
    <t>bekostiging minus kosten 1 okt T-1 Mat</t>
  </si>
  <si>
    <t>overdracht obv peildatum Mat</t>
  </si>
  <si>
    <t>De overallverwerking in de begroting en de balans ed. is integraal.</t>
  </si>
  <si>
    <t>Ook is het verborgen werkblad 'hlpbl' als hulpblad beschikbaar voor de snelle raming van de kosten van een functie.</t>
  </si>
  <si>
    <t xml:space="preserve">Dit betreft de uitputting die aan de orde kan zijn per 1 okt. T-1 (verrekening door DUO) alswel de uitputting die aan de orde kan zijn op basis van de peildatum </t>
  </si>
  <si>
    <t>In dit werkblad wordt de personele bekostiging verwerkt van enerzijds de Lichte Ondersteuning en anderzijds de Zware Ondersteuning en worden</t>
  </si>
  <si>
    <t>per lln</t>
  </si>
  <si>
    <t>aantal lln</t>
  </si>
  <si>
    <t>landelijke GGL (V)SO</t>
  </si>
  <si>
    <t>deugdelijk onderbouwd kan worden.</t>
  </si>
  <si>
    <t>Personele bekostiging Zware Ondersteuning</t>
  </si>
  <si>
    <t xml:space="preserve">Baten en lasten </t>
  </si>
  <si>
    <t>2016/17</t>
  </si>
  <si>
    <t>salaris</t>
  </si>
  <si>
    <t>1.1 Immateriële vaste activa</t>
  </si>
  <si>
    <t>1.2 Materiële vaste activa</t>
  </si>
  <si>
    <t>1.3 Financiële vaste activa</t>
  </si>
  <si>
    <t>1.4  Voorraden</t>
  </si>
  <si>
    <t>1.5 Vorderingen</t>
  </si>
  <si>
    <t>1.6 Effecten (&lt; 1jaar)</t>
  </si>
  <si>
    <t xml:space="preserve">1.7 Liquide middelen </t>
  </si>
  <si>
    <t>2.1 Eigen Vermogen</t>
  </si>
  <si>
    <t>2.2 Voorzieningen</t>
  </si>
  <si>
    <t>Overige voorzieningen</t>
  </si>
  <si>
    <t>2.3 Langlopende schulden</t>
  </si>
  <si>
    <t>2.4 Kortlopende schulden</t>
  </si>
  <si>
    <t>jubilea</t>
  </si>
  <si>
    <t xml:space="preserve">In de tabellen zijn de gegevens opgenomen die betrekking hebben op de onderliggende normeringen voor de bekostiging. </t>
  </si>
  <si>
    <t>(Dit is een informatiewerkblad; dit blad hoeft dus niet ingevuld te worden)</t>
  </si>
  <si>
    <t xml:space="preserve">naam </t>
  </si>
  <si>
    <t>brinnr.</t>
  </si>
  <si>
    <t>Inkomsten personeel</t>
  </si>
  <si>
    <t>Uitgaven personeel</t>
  </si>
  <si>
    <t>Inkomsten materieel</t>
  </si>
  <si>
    <t>Uitgaven materieel</t>
  </si>
  <si>
    <t>11AA</t>
  </si>
  <si>
    <t xml:space="preserve">In de werkbladen kunnen de witte cellen binnen de grijze omlijsting ingevuld worden. </t>
  </si>
  <si>
    <t xml:space="preserve">dat tot dit verband moet worden gerekend. </t>
  </si>
  <si>
    <t>Op grond van de opgegeven diensttijd wordt ook de omvang van de jubileumuitkering berekend.</t>
  </si>
  <si>
    <t>Bé Keizer, tel.: 06-22939674 of e-mail:</t>
  </si>
  <si>
    <t xml:space="preserve">be.keizer@wxs.nl </t>
  </si>
  <si>
    <t>2017/18</t>
  </si>
  <si>
    <t>2018/19</t>
  </si>
  <si>
    <t>2019/20</t>
  </si>
  <si>
    <t>school 68</t>
  </si>
  <si>
    <t>school 69</t>
  </si>
  <si>
    <t>school 70</t>
  </si>
  <si>
    <t>school 71</t>
  </si>
  <si>
    <t>school 72</t>
  </si>
  <si>
    <t>school 73</t>
  </si>
  <si>
    <t>school 74</t>
  </si>
  <si>
    <t>school 75</t>
  </si>
  <si>
    <t>school 76</t>
  </si>
  <si>
    <t>school 77</t>
  </si>
  <si>
    <t>school 78</t>
  </si>
  <si>
    <t>school 79</t>
  </si>
  <si>
    <t>school 80</t>
  </si>
  <si>
    <t>school 81</t>
  </si>
  <si>
    <t>school 82</t>
  </si>
  <si>
    <t>school 83</t>
  </si>
  <si>
    <t>school 84</t>
  </si>
  <si>
    <t>school 85</t>
  </si>
  <si>
    <t>school 86</t>
  </si>
  <si>
    <t>school 87</t>
  </si>
  <si>
    <t>school 88</t>
  </si>
  <si>
    <t>school 89</t>
  </si>
  <si>
    <t>school 90</t>
  </si>
  <si>
    <t>school 91</t>
  </si>
  <si>
    <t>school 92</t>
  </si>
  <si>
    <t>school 93</t>
  </si>
  <si>
    <t>school 94</t>
  </si>
  <si>
    <t>school 95</t>
  </si>
  <si>
    <t>school 96</t>
  </si>
  <si>
    <t>school 97</t>
  </si>
  <si>
    <t>school 98</t>
  </si>
  <si>
    <t>school 99</t>
  </si>
  <si>
    <t>school 100</t>
  </si>
  <si>
    <t>school 101</t>
  </si>
  <si>
    <t>school 102</t>
  </si>
  <si>
    <t>school 103</t>
  </si>
  <si>
    <t>school 104</t>
  </si>
  <si>
    <t>school 105</t>
  </si>
  <si>
    <t>school 106</t>
  </si>
  <si>
    <t>school 107</t>
  </si>
  <si>
    <t>school 108</t>
  </si>
  <si>
    <t>school 109</t>
  </si>
  <si>
    <t>school 110</t>
  </si>
  <si>
    <t>school 111</t>
  </si>
  <si>
    <t>school 112</t>
  </si>
  <si>
    <t>school 113</t>
  </si>
  <si>
    <t>school 114</t>
  </si>
  <si>
    <t>school 115</t>
  </si>
  <si>
    <t>school 116</t>
  </si>
  <si>
    <t>school 117</t>
  </si>
  <si>
    <t>school 118</t>
  </si>
  <si>
    <t>school 119</t>
  </si>
  <si>
    <t>school 120</t>
  </si>
  <si>
    <t>school 121</t>
  </si>
  <si>
    <t>school 122</t>
  </si>
  <si>
    <t>school 123</t>
  </si>
  <si>
    <t>school 124</t>
  </si>
  <si>
    <t>school 125</t>
  </si>
  <si>
    <t>Naam SWV Passend onderwijs</t>
  </si>
  <si>
    <t>Totaal</t>
  </si>
  <si>
    <t>Normatieve bekostiging peil 1-10-2011</t>
  </si>
  <si>
    <t>categorie 1</t>
  </si>
  <si>
    <t>categorie 2</t>
  </si>
  <si>
    <t>categorie 3</t>
  </si>
  <si>
    <t>cluster 4</t>
  </si>
  <si>
    <t>Personeel</t>
  </si>
  <si>
    <t>Materieel</t>
  </si>
  <si>
    <t>Totaal overdrachtsverplichting via DUO 1 okt T-1 per schooljaar</t>
  </si>
  <si>
    <t>Ondersteuningskosten peil 1-10-2011</t>
  </si>
  <si>
    <t>Personeel in dienst van SWV</t>
  </si>
  <si>
    <t>Dotatie voorziening jubilea</t>
  </si>
  <si>
    <t>Gewogen gemiddelde leeftijd op 1 oktober T-1</t>
  </si>
  <si>
    <t>Aantal leerlingen LWOO</t>
  </si>
  <si>
    <t>Totaal aantal leerlingen VO</t>
  </si>
  <si>
    <t>Aantal leerlingen PRO</t>
  </si>
  <si>
    <t>Aantal leerlingen Overig VO</t>
  </si>
  <si>
    <t>Budgettoekenning Lichte Ondersteuning</t>
  </si>
  <si>
    <t>Regionale ondersteuningsvoorziening</t>
  </si>
  <si>
    <t>Rebound</t>
  </si>
  <si>
    <t>Herstart en Op de rails</t>
  </si>
  <si>
    <t xml:space="preserve">Aantal leerlingen per VSO op  teldatum </t>
  </si>
  <si>
    <t>Sommatie per categorie VSO</t>
  </si>
  <si>
    <t>Aantal leerlingen VO (incl. LWOO, PRO en VSO) op 1 oktober T-1</t>
  </si>
  <si>
    <t>Leerlingen VSO t.o.v. alle leerlingen SWV</t>
  </si>
  <si>
    <t>Leerlingen VSO t.o.v leerlingen VO</t>
  </si>
  <si>
    <t>Leerlingen VSO cat 1 t.o.v. alle leerlingen VO</t>
  </si>
  <si>
    <t>Leerlingen VSO cat 2 t.o.v. alle leerlingen VO</t>
  </si>
  <si>
    <t>Leerlingen VSO cat 3 t.o.v. alle leerlingen VO</t>
  </si>
  <si>
    <t>Overig VO</t>
  </si>
  <si>
    <t>LWOO en PRO</t>
  </si>
  <si>
    <t xml:space="preserve">Totaal VO </t>
  </si>
  <si>
    <t>OVERDRACHTSVERPLICHTING AAN VSO</t>
  </si>
  <si>
    <t>benodigd ondersteuningsbedrag Pers aan VSO</t>
  </si>
  <si>
    <t>bijdrage per leerling VO en VSO</t>
  </si>
  <si>
    <t>ondersteuningsbedrag Mat aan VSO</t>
  </si>
  <si>
    <t>Bekostiging aan VSO-school (Pers)</t>
  </si>
  <si>
    <t>Bekostiging aan VSO-school (Mat)</t>
  </si>
  <si>
    <t>salaristabellen</t>
  </si>
  <si>
    <t>LIO</t>
  </si>
  <si>
    <t>Ondersteuningsbedragen VSO</t>
  </si>
  <si>
    <t>SPECIFICATIE GEGEVENS VO-SCHOLEN</t>
  </si>
  <si>
    <t>TOTAAL Zware Ondersteuning VO-SCHOLEN</t>
  </si>
  <si>
    <t>VO-SCHOLEN</t>
  </si>
  <si>
    <t>Bekostiging personeel SWV</t>
  </si>
  <si>
    <t>Totaal bedrag</t>
  </si>
  <si>
    <t>ondersteuningsbedrag SWV</t>
  </si>
  <si>
    <t>Kosten (uitbesteding) Coördinatie SWV</t>
  </si>
  <si>
    <t>Kosten (uitbesteding) maken toelaatbaarheidsverklaring</t>
  </si>
  <si>
    <t>www.voraad.nl</t>
  </si>
  <si>
    <r>
      <t>Waarvan aantal leerlingen VMBO leerjaar 3/4</t>
    </r>
    <r>
      <rPr>
        <b/>
        <sz val="10"/>
        <rFont val="Calibri"/>
        <family val="2"/>
      </rPr>
      <t xml:space="preserve"> </t>
    </r>
  </si>
  <si>
    <t>BRIN-nr.</t>
  </si>
  <si>
    <t>gemiddelde GPL-waarde VO</t>
  </si>
  <si>
    <t>PERSONEEL en MATERIEEL deel rugzak 2014/2015</t>
  </si>
  <si>
    <t>budget P&amp;M</t>
  </si>
  <si>
    <t>Bedrag per leerling VMBO 3/4 Pers (Incl. Mat.)</t>
  </si>
  <si>
    <t>school 27</t>
  </si>
  <si>
    <t>school 28</t>
  </si>
  <si>
    <t>school 29</t>
  </si>
  <si>
    <t>school 30</t>
  </si>
  <si>
    <t>TOTAAL Lichte Ondersteuning VO-SCHOLEN</t>
  </si>
  <si>
    <t>KENGETALLEN</t>
  </si>
  <si>
    <t>Totale baten</t>
  </si>
  <si>
    <t>baten bedrijfsvoering</t>
  </si>
  <si>
    <t>baten financiële bedrijfsvoering</t>
  </si>
  <si>
    <t>totaal per leerling</t>
  </si>
  <si>
    <t xml:space="preserve">Totale lasten </t>
  </si>
  <si>
    <t>lasten bedrijfsvoering</t>
  </si>
  <si>
    <t>lasten financiële bedrijfsvoering</t>
  </si>
  <si>
    <t>Huisvesting</t>
  </si>
  <si>
    <t>afschrijving gebouwen</t>
  </si>
  <si>
    <t>eigen vermogen/  baten bedrijfsvoering</t>
  </si>
  <si>
    <t>rijksbijdragen/  baten bedrijfsvoering</t>
  </si>
  <si>
    <t>overige overheidsbijdragen/ baten bedrijfsvoering</t>
  </si>
  <si>
    <t>overige baten/  baten bedrijfsvoering</t>
  </si>
  <si>
    <t>investeringen/  baten bedrijfsvoering</t>
  </si>
  <si>
    <t xml:space="preserve">eigen vermogen </t>
  </si>
  <si>
    <t>balanstotaal</t>
  </si>
  <si>
    <t>vlottende activa</t>
  </si>
  <si>
    <t>resultaat bedrijfsvoering</t>
  </si>
  <si>
    <t>Weerstandsvermogen</t>
  </si>
  <si>
    <t>eigen vermogen</t>
  </si>
  <si>
    <t>materiële vaste activa</t>
  </si>
  <si>
    <t>rijksbijdrage OC&amp;W</t>
  </si>
  <si>
    <t>Kapitalisatiefactor</t>
  </si>
  <si>
    <t>totaal vermogen</t>
  </si>
  <si>
    <t>totale baten</t>
  </si>
  <si>
    <t xml:space="preserve">Exploitatie kengetallen </t>
  </si>
  <si>
    <t>totale baten / totale lasten</t>
  </si>
  <si>
    <t>baten personeel / lasten personeel</t>
  </si>
  <si>
    <t>baten materieel / lasten materieel</t>
  </si>
  <si>
    <t>personele lasten per leerling</t>
  </si>
  <si>
    <t xml:space="preserve">salarissen/ per FTE </t>
  </si>
  <si>
    <t>baten personeel/ totale baten</t>
  </si>
  <si>
    <t>personele lasten/ totale lasten</t>
  </si>
  <si>
    <t>salarissen / totale lasten</t>
  </si>
  <si>
    <t>baten materieel / totale baten</t>
  </si>
  <si>
    <t>lasten materieel / totale lasten</t>
  </si>
  <si>
    <t>Indices</t>
  </si>
  <si>
    <t>Ontwikkeling salarissen</t>
  </si>
  <si>
    <t>Ontwikkeling totale baten</t>
  </si>
  <si>
    <t>Ontwikkeling Rijksbijdragen</t>
  </si>
  <si>
    <t>Ontwikkeling overige overheidsbijdragen</t>
  </si>
  <si>
    <t>Ontwikkeling baten werk in opdracht van derden</t>
  </si>
  <si>
    <t>Ontwikkeling overige baten</t>
  </si>
  <si>
    <t>Ontwikkeling totale lasten</t>
  </si>
  <si>
    <t>Ontwikkeling personele lasten</t>
  </si>
  <si>
    <t>Ontwikkeling afschrijvingen</t>
  </si>
  <si>
    <t>Ontwikkeling huisvestingslasten</t>
  </si>
  <si>
    <t>Ontwikkeling overige lasten</t>
  </si>
  <si>
    <t>Aantal FTE</t>
  </si>
  <si>
    <t>huisvestingslasten lichte ondersteuning</t>
  </si>
  <si>
    <t>huisvestingslasten zware ondersteuning</t>
  </si>
  <si>
    <t>baten personeel</t>
  </si>
  <si>
    <t>Ontwikkeling aantal leerlingen LWOO</t>
  </si>
  <si>
    <t>Ontwikkeling aantal leerlingen PRO</t>
  </si>
  <si>
    <t>Ontwikkeling aantal leerlingen Overig VO</t>
  </si>
  <si>
    <t>Ontwikkeling totaal aantal leerlingen VO</t>
  </si>
  <si>
    <t>Ontwikkeling aantal leerlingen VO + VSO</t>
  </si>
  <si>
    <t>Ontwikkeling totaal aantal leerlingen VSO</t>
  </si>
  <si>
    <t>Ontwikkeling totaal aantal leerlingen VSO categorie 1</t>
  </si>
  <si>
    <t>Ontwikkeling totaal aantal leerlingen VSO categorie 2</t>
  </si>
  <si>
    <t>Ontwikkeling totaal aantal leerlingen VSO categorie 3</t>
  </si>
  <si>
    <t>De exploitatie levert ook tal van kengetallen die er toe doen zoals relevante bedragen per leerling en verhoudingsgetallen. Die spreken voor zich.</t>
  </si>
  <si>
    <t>GRAFIEKEN</t>
  </si>
  <si>
    <t>Mat LGF schooldeel (excl. AB-deel)</t>
  </si>
  <si>
    <r>
      <t xml:space="preserve">Het </t>
    </r>
    <r>
      <rPr>
        <b/>
        <sz val="10"/>
        <color indexed="60"/>
        <rFont val="Calibri"/>
        <family val="2"/>
      </rPr>
      <t>wachtwoord</t>
    </r>
    <r>
      <rPr>
        <sz val="10"/>
        <color indexed="60"/>
        <rFont val="Calibri"/>
        <family val="2"/>
      </rPr>
      <t xml:space="preserve"> </t>
    </r>
    <r>
      <rPr>
        <sz val="10"/>
        <rFont val="Calibri"/>
        <family val="2"/>
      </rPr>
      <t xml:space="preserve">dat voor elk werkblad van toepassing is, luidt:  </t>
    </r>
    <r>
      <rPr>
        <b/>
        <sz val="10"/>
        <rFont val="Calibri"/>
        <family val="2"/>
      </rPr>
      <t xml:space="preserve"> voraad</t>
    </r>
  </si>
  <si>
    <t>school 24</t>
  </si>
  <si>
    <t>school 25</t>
  </si>
  <si>
    <t>school 26</t>
  </si>
  <si>
    <t xml:space="preserve">Daarbij wordt ook meteen berekend wat de bijdrage is van de schoolbesturen wanneer er sprake is van uitputting van het normatieve budget. </t>
  </si>
  <si>
    <t xml:space="preserve">Dit wordt omgerekend in een bedrag per leerling. </t>
  </si>
  <si>
    <t>De informatie over de VSO-school is voor iedereen beschikbaar via de website van DUO-CFI onder instellingsinformatie.</t>
  </si>
  <si>
    <t xml:space="preserve">Een goed inzicht in de prognose van de leerlingen in de meerjarenbegroting van de VSO-school is essentieel. </t>
  </si>
  <si>
    <t xml:space="preserve">Voor het berekenen van de bekostiging voor de Lichte Ondersteuning kan volstaan worden met de invulling van dit werkblad. </t>
  </si>
  <si>
    <t>In percentage per 1 okt T-1:</t>
  </si>
  <si>
    <r>
      <t xml:space="preserve">Aantal leerlingen VSO: </t>
    </r>
    <r>
      <rPr>
        <sz val="10"/>
        <rFont val="Calibri"/>
        <family val="2"/>
      </rPr>
      <t>Er is ruimte voor 35 scholen VSO.</t>
    </r>
  </si>
  <si>
    <t xml:space="preserve">Werkblad 'overdracht VSO' </t>
  </si>
  <si>
    <t xml:space="preserve">In dit werkblad wordt de omvang berekend van de overdrachtsverplichtingen aan het VSO die gelden in verband met het aantal leerlingen op de teldatum. </t>
  </si>
  <si>
    <t xml:space="preserve">De verrekening van de overdracht wordt uitgevoerd door DUO, inclusief de bekostiging van de eventuele uitputting - als daar sprake van is - door </t>
  </si>
  <si>
    <t>de deelnemende schoolbesturen in het SWV.</t>
  </si>
  <si>
    <t xml:space="preserve">Werkblad 'peildatum VSO' </t>
  </si>
  <si>
    <t>Werkblad 'project'</t>
  </si>
  <si>
    <t>In dit werkblad worden de gegevens in verband met specifieke projecten verwerkt. Denk hierbij aan o.a. projectactiviteiten van meer tijdelijke aard.</t>
  </si>
  <si>
    <t>Hierbij worden lasten per project onderscheiden naar personeel en materieel conform de aanduiding van het project in werkblad 'pers'.</t>
  </si>
  <si>
    <t>Projecten</t>
  </si>
  <si>
    <t>De hier vermelde opgaven worden verwerkt in de werkbladen 'pers' en 'mat' bij projecten.</t>
  </si>
  <si>
    <t xml:space="preserve">In dit werkblad kunnen de gegevens per school worden opgegeven. De invoering van de feitelijke leerlingaantallen per 1 oktober </t>
  </si>
  <si>
    <t xml:space="preserve">De uitgaven aan scholen kunnen hier gespecificeerd worden. Iemand met ervaring in Excel kan een eigen regeling van het SWV  </t>
  </si>
  <si>
    <t>omtrent toekenning van middelen aan de scholen automatisch laten berekenen.</t>
  </si>
  <si>
    <t xml:space="preserve">maximumsalaris van elke schaal. </t>
  </si>
  <si>
    <t>Landelijke deelnamepercentages:</t>
  </si>
  <si>
    <t>Landelijke deelname percentages:</t>
  </si>
  <si>
    <t>bijdrage besturen per leerling VO en VSO</t>
  </si>
  <si>
    <t>AB-deel</t>
  </si>
  <si>
    <r>
      <t>Aantal leerlingen VO:</t>
    </r>
    <r>
      <rPr>
        <sz val="10"/>
        <rFont val="Calibri"/>
        <family val="2"/>
      </rPr>
      <t xml:space="preserve"> Het feitelijk aantal leerlingen LWOO, PRO en Overig VO op 1 oktober T-1. </t>
    </r>
  </si>
  <si>
    <t>Daarbij wordt onderscheid gemaakt tussen personeel en materieel en wordt rekening gehouden met de categorieën.</t>
  </si>
  <si>
    <t xml:space="preserve">In dit werkblad worden de baten en lasten van de materiële exploitatie verwerkt, uitgesplitst naar LO en ZO. </t>
  </si>
  <si>
    <t>In dit werkblad zijn relevante kengetallen opgenomen zoals die deels zijn voorgeschreven in de OCW-richtlijn financiële verslaggeving.</t>
  </si>
  <si>
    <t>voor de eigen situatie daadwerkelijk van toepassing is.</t>
  </si>
  <si>
    <t>Werkblad 'Li O school' (verborgen)</t>
  </si>
  <si>
    <t>Werkblad 'Zw O school' (verborgen)</t>
  </si>
  <si>
    <r>
      <t>Percentages 1 oktober T-1:</t>
    </r>
    <r>
      <rPr>
        <sz val="10"/>
        <rFont val="Calibri"/>
        <family val="2"/>
      </rPr>
      <t xml:space="preserve"> Het percentage wordt hier berekend per soort leerlingen. Ook zijn de laatst bekende landelijke percentages opgenomen.</t>
    </r>
  </si>
  <si>
    <t>SPECIFICATIE PROJECTEN</t>
  </si>
  <si>
    <t>Overdracht ivm leerlingen VSO op 1 okt T-1</t>
  </si>
  <si>
    <t>Overdracht ivm leerlingen VSO op peildatum</t>
  </si>
  <si>
    <t>Overdracht ivm leerlingen VSO Totaal</t>
  </si>
  <si>
    <t>per leerling Pers&amp;Arb.marktbeleid (P&amp;A)</t>
  </si>
  <si>
    <t>NB: lichtgele cellen zijn voorzien van formule, maar overschrijfbaar.</t>
  </si>
  <si>
    <t>personeel</t>
  </si>
  <si>
    <t>materieel</t>
  </si>
  <si>
    <t>budget Personeel</t>
  </si>
  <si>
    <t>budget Materieel</t>
  </si>
  <si>
    <t>Totaal budget</t>
  </si>
  <si>
    <t xml:space="preserve">Een soortgelijke berekening vindt plaats van de omvang van het budget ambulante begeleiding dat voor de rugzakleerlingen wordt overgedragen aan de </t>
  </si>
  <si>
    <t xml:space="preserve">is voor LWOO/PRO en Overig VO gelijk per schoolsoort. </t>
  </si>
  <si>
    <t xml:space="preserve">De omvang van dit bedrag is van belang omdat dit het (maximale) bedrag is waarvoor trekkingsrechten bestaan in 2014-2015 vanuit het SWV naar de </t>
  </si>
  <si>
    <t>BUDGET AMBULANTE BEGELEIDING LGF, TREKKINGSRECHTEN, HERBESTEDINGSVERPLICHTING</t>
  </si>
  <si>
    <t>Schooldeel</t>
  </si>
  <si>
    <t xml:space="preserve">Rugzakken Overig VO </t>
  </si>
  <si>
    <t>Rugzakken LWOO en PRO</t>
  </si>
  <si>
    <t>personeel schooldeel (incl.materieel)</t>
  </si>
  <si>
    <t>LOONKOSTEN PERSONEEL ONDERSTEUNING SWV</t>
  </si>
  <si>
    <t>Overgangsbudget SWV ZO Pers</t>
  </si>
  <si>
    <t>Overgangsbudget SWV ZO Mat</t>
  </si>
  <si>
    <t>Budget Ambulante begeleiding LGF</t>
  </si>
  <si>
    <t>loonkosten SWV per leerling</t>
  </si>
  <si>
    <t>Ontwikkeling aantal FTE SWV</t>
  </si>
  <si>
    <t>huur</t>
  </si>
  <si>
    <t>1 okt.</t>
  </si>
  <si>
    <t xml:space="preserve">De opgegeven leerlingen betreffen alleen de leerlingen van een VSO-school - die meestal in meerdere verbanden functioneert - voor dat aantal </t>
  </si>
  <si>
    <t xml:space="preserve">In dit werkblad wordt de specifieke berekening weergegeven van de toekenning van de leerlinggebonden financiering (LGF). Enerzijds voor het schooldeel en </t>
  </si>
  <si>
    <t xml:space="preserve">anderzijds voor het ambulante deel zoals die geldt voor het schooljaar 2014-2015. De toekenning van het schooldeel LGF wordt berekend voor Overig VO en </t>
  </si>
  <si>
    <t xml:space="preserve">LWOO/PRO maar toegekend aan het SWV. Daarom volstaat de berekening met de aantallen rugzakken per soort rugzak zoals die aan de scholen in het </t>
  </si>
  <si>
    <t xml:space="preserve">betreffende SWV zijn toegekend op basis van de telling 1 okt. 2013. </t>
  </si>
  <si>
    <t>ingevoerd. Invoer is mogelijk op de witte velden.</t>
  </si>
  <si>
    <t xml:space="preserve">Werkblad 'sal SWV' </t>
  </si>
  <si>
    <t>In dit werkblad kunnen de personele lasten worden opgevoerd van het personeel dat rechtstreeks is aangesteld bij het samenwerkingsverband.</t>
  </si>
  <si>
    <t>Het onderscheid lichte en zware ondersteuning is hierbij niet gehanteerd.</t>
  </si>
  <si>
    <t>(gedurende tenminste de komende negen jaren) in kaart worden gebracht.</t>
  </si>
  <si>
    <t xml:space="preserve">De financiële kengetallen worden ook direct berekend en weergegeven, met daarbij de kanttekening dat de relevantie voor SWV-en beperkt is </t>
  </si>
  <si>
    <t>indexering</t>
  </si>
  <si>
    <t>Geindexeerd bedrag</t>
  </si>
  <si>
    <t>Percentage rugzakken SWV</t>
  </si>
  <si>
    <t>Landelijk percentage rugzakken</t>
  </si>
  <si>
    <t>Ontwikkeling aantal rugzakken</t>
  </si>
  <si>
    <t>bijdrage besturen Pers obv peildatum</t>
  </si>
  <si>
    <t>bijdrage besturen Mat obv peildatum</t>
  </si>
  <si>
    <t>Uitvoering door DUO</t>
  </si>
  <si>
    <t>Uitvoering door SWV</t>
  </si>
  <si>
    <t>Deze grafieken kunnen ook in het Ondersteuningsplan resp. het Jaarverslag van het verband worden opgenomen.</t>
  </si>
  <si>
    <r>
      <t xml:space="preserve">Voor de werkgeverslasten is een </t>
    </r>
    <r>
      <rPr>
        <b/>
        <sz val="10"/>
        <rFont val="Calibri"/>
        <family val="2"/>
      </rPr>
      <t>raming</t>
    </r>
    <r>
      <rPr>
        <sz val="10"/>
        <rFont val="Calibri"/>
        <family val="2"/>
      </rPr>
      <t xml:space="preserve"> opgenomen waarbij het dringende advies geldt deze raming bij te stellen op basis van het percentage zoals dat </t>
    </r>
  </si>
  <si>
    <r>
      <t>worden ook de geraamde werkgeverslasten zichtbaar gemaakt. Die zijn in dit model geraamd zoals in het werkblad 'tab' is opgenomen</t>
    </r>
    <r>
      <rPr>
        <sz val="10"/>
        <rFont val="Calibri"/>
        <family val="2"/>
      </rPr>
      <t xml:space="preserve">, maar het wordt </t>
    </r>
  </si>
  <si>
    <r>
      <t>dringend aangeraden het percentage zelf te berekenen voor de eigen situatie</t>
    </r>
    <r>
      <rPr>
        <sz val="10"/>
        <rFont val="Calibri"/>
        <family val="2"/>
      </rPr>
      <t xml:space="preserve"> omdat dit een nogal groot effect kan hebben. Buiten beeld blijven dan de </t>
    </r>
  </si>
  <si>
    <t>met huisvesting, administratie, personeelsbeleid e.d.</t>
  </si>
  <si>
    <t>voor een functie geldt.</t>
  </si>
  <si>
    <t>o.g.v landelijke GGL</t>
  </si>
  <si>
    <t>LG</t>
  </si>
  <si>
    <t>LZs</t>
  </si>
  <si>
    <t>ZMLK</t>
  </si>
  <si>
    <t>MG</t>
  </si>
  <si>
    <t>Normatieve bekostiging verevening peil 1-10-2011</t>
  </si>
  <si>
    <t>ongeveer</t>
  </si>
  <si>
    <t>loonkosten SWV</t>
  </si>
  <si>
    <t>personeel SWV</t>
  </si>
  <si>
    <t xml:space="preserve">kosten van vervanging en de uitkering' (~ 6%) en nog de eventuele 'overhead'-kosten van incidentele of specifieke aard en kosten die verband houden </t>
  </si>
  <si>
    <t>schaal / regel</t>
  </si>
  <si>
    <t>regels</t>
  </si>
  <si>
    <t>o.b.v. teldatum 1 oktober 2013</t>
  </si>
  <si>
    <t>lwoo</t>
  </si>
  <si>
    <t>pro</t>
  </si>
  <si>
    <t>Totaal aantal leerlingen lwoo</t>
  </si>
  <si>
    <t>Totaal aantal leerlingen pro</t>
  </si>
  <si>
    <t>Naam</t>
  </si>
  <si>
    <t>Brinnummer</t>
  </si>
  <si>
    <t xml:space="preserve">Totaal aantal leerlingen lwoo en pro </t>
  </si>
  <si>
    <t>Overdrachtsverplichting 'schoolsoortgroep 1</t>
  </si>
  <si>
    <t>Overdrachtsverplichting 'schoolsoortgroep 2</t>
  </si>
  <si>
    <t>Overdrachtsverplichting 'schoolsoortgroep 3</t>
  </si>
  <si>
    <t>Overdrachtsverplichting 'schoolsoortgroep 4</t>
  </si>
  <si>
    <t>per 1 oktober</t>
  </si>
  <si>
    <t>Er geldt voor het SWV geen wettelijke overdrachtsverplichting op de peildatum voor de basisbekostiging en de materiële exploitatie aan de school voor (V)SO.</t>
  </si>
  <si>
    <t>Dan ontvangt de school een complete bekostiging voor elke leerling die er is.</t>
  </si>
  <si>
    <t>School 20</t>
  </si>
  <si>
    <t>School 21</t>
  </si>
  <si>
    <t>School 22</t>
  </si>
  <si>
    <t>School 23</t>
  </si>
  <si>
    <t>School 24</t>
  </si>
  <si>
    <t>School 25</t>
  </si>
  <si>
    <t>School 26</t>
  </si>
  <si>
    <t>School 27</t>
  </si>
  <si>
    <t>School 28</t>
  </si>
  <si>
    <t>School 29</t>
  </si>
  <si>
    <t>School 30</t>
  </si>
  <si>
    <t>School 31</t>
  </si>
  <si>
    <t>School 32</t>
  </si>
  <si>
    <t>School 33</t>
  </si>
  <si>
    <t>School 34</t>
  </si>
  <si>
    <t>School 35</t>
  </si>
  <si>
    <t>2014-2015</t>
  </si>
  <si>
    <t>Budget o.b.v. VMBO ljr 3 en 4</t>
  </si>
  <si>
    <t>Budget o.b.v. alle leerlingen VO</t>
  </si>
  <si>
    <t>Correctiebedrag</t>
  </si>
  <si>
    <t>Normatieve Rijksbijdrage OCW incl. LWOO en PRO</t>
  </si>
  <si>
    <t>omrekening voor zover nodig naar kalenderjaar</t>
  </si>
  <si>
    <t>Totaal LO en ZO naar kalenderjaar</t>
  </si>
  <si>
    <t>Totaal LO en ZO naar schooljaar</t>
  </si>
  <si>
    <t>Zware ondersteuning kalenderjaar</t>
  </si>
  <si>
    <t>omrekening voor zover nodig naar schooljaar</t>
  </si>
  <si>
    <t>projecten</t>
  </si>
  <si>
    <t xml:space="preserve">Totaal bedrag (P+M) per leerling VMBO 3/4 </t>
  </si>
  <si>
    <t>geindexeerd bedrag</t>
  </si>
  <si>
    <t>lasten personeel (incl. loonkosten SWV en projecten)</t>
  </si>
  <si>
    <t>Resultaat personeel</t>
  </si>
  <si>
    <t>Rijksbijdrage OCW lichte ondersteuning</t>
  </si>
  <si>
    <t>Overgangsbudget SWV (P naar schooljaar, M naar kalenderjaar)</t>
  </si>
  <si>
    <t>Rijksbijdrage OCW zware ondersteuning</t>
  </si>
  <si>
    <t>Rijksbijdrage OCW totaal</t>
  </si>
  <si>
    <t>Overige lasten (incl. projecten)</t>
  </si>
  <si>
    <t>Bekostiging door SWV P</t>
  </si>
  <si>
    <t>Totaal baten</t>
  </si>
  <si>
    <t>Totaal lasten</t>
  </si>
  <si>
    <t>&gt; 30%</t>
  </si>
  <si>
    <t xml:space="preserve">Lasten personeel </t>
  </si>
  <si>
    <t>loonkosten personeel SWV</t>
  </si>
  <si>
    <t>school 31</t>
  </si>
  <si>
    <t>school 32</t>
  </si>
  <si>
    <t>school 33</t>
  </si>
  <si>
    <t>school 34</t>
  </si>
  <si>
    <t>school 35</t>
  </si>
  <si>
    <t>school 36</t>
  </si>
  <si>
    <t>school 37</t>
  </si>
  <si>
    <t>school 38</t>
  </si>
  <si>
    <t>school 39</t>
  </si>
  <si>
    <t>school 40</t>
  </si>
  <si>
    <t>school 41</t>
  </si>
  <si>
    <t>school 42</t>
  </si>
  <si>
    <t>school 43</t>
  </si>
  <si>
    <t>school 44</t>
  </si>
  <si>
    <t>school 45</t>
  </si>
  <si>
    <t>school 46</t>
  </si>
  <si>
    <t>school 47</t>
  </si>
  <si>
    <t>school 48</t>
  </si>
  <si>
    <t>school 49</t>
  </si>
  <si>
    <t>school 50</t>
  </si>
  <si>
    <t>school 51</t>
  </si>
  <si>
    <t>school 52</t>
  </si>
  <si>
    <t>school 53</t>
  </si>
  <si>
    <t>school 54</t>
  </si>
  <si>
    <t>school 55</t>
  </si>
  <si>
    <t>school 56</t>
  </si>
  <si>
    <t>school 57</t>
  </si>
  <si>
    <t>school 58</t>
  </si>
  <si>
    <t>school 59</t>
  </si>
  <si>
    <t>school 60</t>
  </si>
  <si>
    <t>school 61</t>
  </si>
  <si>
    <t>school 62</t>
  </si>
  <si>
    <t>school 63</t>
  </si>
  <si>
    <t>school 64</t>
  </si>
  <si>
    <t>school 65</t>
  </si>
  <si>
    <t>school 66</t>
  </si>
  <si>
    <t>school 67</t>
  </si>
  <si>
    <t>2015</t>
  </si>
  <si>
    <t>2016</t>
  </si>
  <si>
    <t>2017</t>
  </si>
  <si>
    <t>2018</t>
  </si>
  <si>
    <t>2019</t>
  </si>
  <si>
    <t>Aantal leerlingen VO</t>
  </si>
  <si>
    <t>Overgangsbudget lichte ondersteuning vanaf 1 aug. 2014</t>
  </si>
  <si>
    <t xml:space="preserve">Er zijn ook de verborgen werkbladen 'Li O school' en 'Zw O school' waarin de gegevens van afzonderlijke scholen kunnen worden gespecificeerd en </t>
  </si>
  <si>
    <t>berekeningen per school worden gemaakt.</t>
  </si>
  <si>
    <t>Daardoor blijft de begroting (V)SO als zodanig buiten beeld. Die is als instrument MJB (V)SO via de website PO-Raad beschikbaar gesteld.</t>
  </si>
  <si>
    <r>
      <t xml:space="preserve">van het </t>
    </r>
    <r>
      <rPr>
        <u/>
        <sz val="10"/>
        <rFont val="Calibri"/>
        <family val="2"/>
      </rPr>
      <t>fictieve</t>
    </r>
    <r>
      <rPr>
        <sz val="10"/>
        <rFont val="Calibri"/>
        <family val="2"/>
      </rPr>
      <t xml:space="preserve"> aantal leerlingen LWOO resp. PRO dat de grondslag vormt voor de bekostiging van het samenwerkingsverband met ingang van </t>
    </r>
  </si>
  <si>
    <t>het kalenderjaar 2016. Tot 2016 blijft de huidige wijze van bekostiging LWOO resp. PRO van toepassing.</t>
  </si>
  <si>
    <r>
      <t xml:space="preserve">Recent is besloten om het percentage dat geldt voor de </t>
    </r>
    <r>
      <rPr>
        <u/>
        <sz val="10"/>
        <rFont val="Calibri"/>
        <family val="2"/>
      </rPr>
      <t>afbouw van het positieve overgangsbudget</t>
    </r>
    <r>
      <rPr>
        <sz val="10"/>
        <rFont val="Calibri"/>
        <family val="2"/>
      </rPr>
      <t xml:space="preserve"> in 2016-2017 te stellen op 95% i.p.v. 90% en </t>
    </r>
  </si>
  <si>
    <t>landelijke percentages opgenomen.</t>
  </si>
  <si>
    <t xml:space="preserve">scholen voor VSO. Bij deze toekenning is wel onderscheid opgegeven tussen personele en materiële bekostiging. Het bedrag van de ambulante begeleiding </t>
  </si>
  <si>
    <t>Het geeft ook het materiële ondersteuningsbedrag dat per school wordt berekend en toegekend wordt aan het samenwerkingsverband per kalenderjaar.</t>
  </si>
  <si>
    <t>Reacties graag naar Adviesbureau Keizer:</t>
  </si>
  <si>
    <t>Overzicht baten en lasten LWOO en PRO en berekening Uitputting per leerling</t>
  </si>
  <si>
    <t>AAN VO-SCHOLEN</t>
  </si>
  <si>
    <t>Werkblad 'LWOO-PRO'</t>
  </si>
  <si>
    <t xml:space="preserve">In dit werkblad dienen alle VO-scholen te worden opgenomen met de opgave van het aantal LWOO- en/of PRO-leerlingen per school. </t>
  </si>
  <si>
    <t xml:space="preserve">De lichte ondersteuning is nader uitgesplitst in Overige lichte ondersteuning met overgangsregeling, LWOO en PRO. </t>
  </si>
  <si>
    <t>Overige lichte ondersteuning naar kalenderjaar</t>
  </si>
  <si>
    <t>Schooljaar</t>
  </si>
  <si>
    <t>Normatieve Rijksbijdrage OCW:</t>
  </si>
  <si>
    <t xml:space="preserve">Voor een vergelijkbaar overzicht is de kalenderjaarbekostiging van de lichte ondersteuning ook omgezet naar schooljaren en wordt in het aangegeven </t>
  </si>
  <si>
    <t>2015-2016</t>
  </si>
  <si>
    <t>dan in het werkblad 'mat' verwerkt.</t>
  </si>
  <si>
    <t>In dit werkblad kunnen de gegevens per school worden opgegeven. De invoering van de feitelijke leerlingaantallen per 1 oktober geeft de berekening van</t>
  </si>
  <si>
    <t>het personele budget LO dat - per school berekend - naar het samenwerkingsverband gaat. De veranderingen per 1 aug. 2014 zijn hierin verwerkt.</t>
  </si>
  <si>
    <t>Inkomsten personeel Overige lichte ondersteuning</t>
  </si>
  <si>
    <t>LWOO en PRO zijn hier buiten beschouwing gebleven, daarvoor wordt verwezen naar het werkblad 'LWOO-PRO'.</t>
  </si>
  <si>
    <t>Berekening kosten (afgerond) op basis van GPL.</t>
  </si>
  <si>
    <t>GPL per groep</t>
  </si>
  <si>
    <t>korting 0%</t>
  </si>
  <si>
    <t>korting: 2,86%</t>
  </si>
  <si>
    <t>95% of 90 %</t>
  </si>
  <si>
    <t>80% of 75%</t>
  </si>
  <si>
    <t>TOTAAL Lichte Ondersteuning LWOO en PRO VO-SCHOLEN</t>
  </si>
  <si>
    <t>LWOO en PRO, en Overig VO</t>
  </si>
  <si>
    <t>Preventieve ambulante begeleiding (PAB)</t>
  </si>
  <si>
    <t>lln. naar schoolsoort VSO</t>
  </si>
  <si>
    <t>PAB-budget</t>
  </si>
  <si>
    <t>teruggeplaatste ll VSO</t>
  </si>
  <si>
    <t>Component AB in budget Pers- en Arb-beleid</t>
  </si>
  <si>
    <t>Totaal budget AB</t>
  </si>
  <si>
    <t>kinderen met syndroom van Down</t>
  </si>
  <si>
    <t>Het meestal grote aantal VSO-scholen dat bij het SWV betrokken is vergt een zorgvuldige registratie.</t>
  </si>
  <si>
    <t xml:space="preserve">Voor het berekenen van de overdrachtsbekostiging van de ZO o.b.v. 1 okt. T-1 kan volstaan worden met de invulling van dit werkblad. </t>
  </si>
  <si>
    <t xml:space="preserve">In dit werkblad wordt de omvang weergegeven van de overdrachtsverplichtingen aan het VSO die gelden in verband met het aantal leerlingen op </t>
  </si>
  <si>
    <t>resp. materiële overdracht.</t>
  </si>
  <si>
    <t xml:space="preserve">bijdrage moet worden geleverd voor bijv. de personele uitputting terwijl er voor materiële uitgaven nog een positief saldo is bij het SWV in de </t>
  </si>
  <si>
    <t xml:space="preserve">berekening van de materiële uitputting. </t>
  </si>
  <si>
    <r>
      <t xml:space="preserve">In het programma zelf is het mogelijk bij cellen met een </t>
    </r>
    <r>
      <rPr>
        <b/>
        <sz val="10"/>
        <color rgb="FF993300"/>
        <rFont val="Calibri"/>
        <family val="2"/>
      </rPr>
      <t>rood driehoekje</t>
    </r>
    <r>
      <rPr>
        <sz val="10"/>
        <rFont val="Calibri"/>
        <family val="2"/>
      </rPr>
      <t xml:space="preserve"> in de rechterbovenhoek informatie te verkrijgen door de muiscursor </t>
    </r>
  </si>
  <si>
    <t>op die cel te plaatsen. De programma's zijn beveiligd zodat invoer alleen mogelijk is op de witte en - in een beperkt aantal gevallen - de lichtgele velden.</t>
  </si>
  <si>
    <t>Overige lichte ondersteuning</t>
  </si>
  <si>
    <t>Uitputting</t>
  </si>
  <si>
    <t>Bijdrage van besturen per leerling aan SWV</t>
  </si>
  <si>
    <t>Saldo voor SWV</t>
  </si>
  <si>
    <t>Bijdrage besturen ivm uitputting lichte ondersteuning</t>
  </si>
  <si>
    <t>Bijdrage besturen ivm uitputting zware ondersteuning 1 oktober</t>
  </si>
  <si>
    <t>Bijdrage besturen ivm uitputting zware ondersteuning 1 februari</t>
  </si>
  <si>
    <t>Samengevat naar kalenderjaar</t>
  </si>
  <si>
    <t xml:space="preserve">Samengevat </t>
  </si>
  <si>
    <t>Samengevat naar schooljaar</t>
  </si>
  <si>
    <t>2020</t>
  </si>
  <si>
    <t>Uitgaven naar schooljaar</t>
  </si>
  <si>
    <t>Herbestedingsverplichting AB LGF maximaal</t>
  </si>
  <si>
    <t xml:space="preserve">Daarbij zijn de gele velden voorzien van een formule die niet overschreven kan worden. Dat geldt ook voor de lichtgele velden maar daarbij kan </t>
  </si>
  <si>
    <t>overschrijving wenselijk zijn. Alleen in het werkblad tab zijn het daarentegen de gele cellen die toegankelijk zijn en niet de witte.</t>
  </si>
  <si>
    <t xml:space="preserve">De bijdrage van de besturen aan de uitputting, verwerkt door DUO-CFI, wordt hier geboekt als rijksbijdragen cf. de voorschriften jaarverslaggeving. </t>
  </si>
  <si>
    <t>in 2017-2018 te stellen op 80% i.p.v. 75%. Is er sprake van een negatief overgangsbudget dan blijven de percentages 90 en 75% van toepassing.</t>
  </si>
  <si>
    <t xml:space="preserve">de eventuele uitputting weergegeven waarvan sprake is voor de peildatum voor de personele resp. de materiële bekostiging. </t>
  </si>
  <si>
    <t>De eventuele uitputting peildatum wordt ook omgerekend in een bedrag per leerling voor iedere leerling die tot het SWV wordt gerekend.</t>
  </si>
  <si>
    <t>omdat de risico's bij een samenwerkingsverband anders zijn dan die van een schoolbestuur.</t>
  </si>
  <si>
    <t>prognose:</t>
  </si>
  <si>
    <t>School 17</t>
  </si>
  <si>
    <t>School 18</t>
  </si>
  <si>
    <t>School 19</t>
  </si>
  <si>
    <t>actuele bedragen LWOO/PRO personele bekostiging</t>
  </si>
  <si>
    <t>LGF Pers tot</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</si>
  <si>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</si>
  <si>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</si>
  <si>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</si>
  <si>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</si>
  <si>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</si>
  <si>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</si>
  <si>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</si>
  <si>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</si>
  <si>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</si>
  <si>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</si>
  <si>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</si>
  <si>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</si>
  <si>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</si>
  <si>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</si>
  <si>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</si>
  <si>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</si>
  <si>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school 17</t>
  </si>
  <si>
    <t>school 18</t>
  </si>
  <si>
    <t>school 19</t>
  </si>
  <si>
    <t>school 20</t>
  </si>
  <si>
    <t>school 21</t>
  </si>
  <si>
    <t>school 22</t>
  </si>
  <si>
    <t>school 23</t>
  </si>
  <si>
    <t>Bedrag per leerling VSO met GPL incl. P&amp;A basis</t>
  </si>
  <si>
    <t xml:space="preserve">Totale loonkosten jaar (incl. werkg. lasten) </t>
  </si>
  <si>
    <t>loonpeil 1 aug. 2014 met GPL 2014</t>
  </si>
  <si>
    <t>bijdrage per leerling vo en vso</t>
  </si>
  <si>
    <t>uitputting</t>
  </si>
  <si>
    <t xml:space="preserve">In het geval van een 'negatieve' groei op basis van de peildatum van de gezamenlijke vestigingen van een school in een bepaald SWV geldt dat geen terugbetaling </t>
  </si>
  <si>
    <t>door de school hoeft plaats te vinden. Dat geldt voor 'pers' resp. 'mat' afzonderlijk.</t>
  </si>
  <si>
    <t>2022/23</t>
  </si>
  <si>
    <t>2016-2017</t>
  </si>
  <si>
    <t>2017-2018</t>
  </si>
  <si>
    <t>Extra bekostiging ivm stoppen bezuinigingen</t>
  </si>
  <si>
    <t>Levensfasebewust personeelsbeleid</t>
  </si>
  <si>
    <t>Loonkosten</t>
  </si>
  <si>
    <t>aanv. verlof</t>
  </si>
  <si>
    <t>overgangs-</t>
  </si>
  <si>
    <t>basis-</t>
  </si>
  <si>
    <t>uren</t>
  </si>
  <si>
    <t>onbetaald</t>
  </si>
  <si>
    <t>kosten uren</t>
  </si>
  <si>
    <t>pensioenpr.</t>
  </si>
  <si>
    <t>werk ln.</t>
  </si>
  <si>
    <t>loonkn uur</t>
  </si>
  <si>
    <t xml:space="preserve">werkg ln </t>
  </si>
  <si>
    <t>zonder</t>
  </si>
  <si>
    <t>met</t>
  </si>
  <si>
    <t>% eigen</t>
  </si>
  <si>
    <t>budget 57 jr</t>
  </si>
  <si>
    <t>reg. bapo</t>
  </si>
  <si>
    <t>budget</t>
  </si>
  <si>
    <t>verlof</t>
  </si>
  <si>
    <t>excl. uren LFB</t>
  </si>
  <si>
    <t>LFB</t>
  </si>
  <si>
    <t>onbet verlof</t>
  </si>
  <si>
    <t>maand</t>
  </si>
  <si>
    <t>excl. wg ln</t>
  </si>
  <si>
    <t>incl. wg ln</t>
  </si>
  <si>
    <t>per uur</t>
  </si>
  <si>
    <t>eigen bijdr</t>
  </si>
  <si>
    <t>bijdrage</t>
  </si>
  <si>
    <t>Pensioenpremie ABP</t>
  </si>
  <si>
    <t>Werkgever</t>
  </si>
  <si>
    <t>Werknemer</t>
  </si>
  <si>
    <t>Franchise</t>
  </si>
  <si>
    <t>EJU</t>
  </si>
  <si>
    <t>Vak. Uitk.</t>
  </si>
  <si>
    <t>2023/24</t>
  </si>
  <si>
    <t>LFB-PB</t>
  </si>
  <si>
    <t>bruto maandsalaris</t>
  </si>
  <si>
    <t>Prev. Amb. Beg. VSO</t>
  </si>
  <si>
    <t>eigen bijdrage LFB verlof (oop ≤ 8)</t>
  </si>
  <si>
    <t>eigen bijdrage LFB verlof (dir, op en oop &gt; 8)</t>
  </si>
  <si>
    <t>werkgeverslasten bij opname LFB verlof</t>
  </si>
  <si>
    <t xml:space="preserve">Daarbij geldt een overgangsbudget voor personeel resp. materieel (Artikel XV resp. XVI van de wet). In de laatste opgave van het ministerie worden </t>
  </si>
  <si>
    <r>
      <t>Percentages 1 oktober T-1:</t>
    </r>
    <r>
      <rPr>
        <sz val="10"/>
        <rFont val="Calibri"/>
        <family val="2"/>
      </rPr>
      <t xml:space="preserve"> De verwijzingspercentages worden hier berekend per categorie en totaal. Ook zijn hier de laatst bekende </t>
    </r>
  </si>
  <si>
    <t>Omdat de zware ondersteuning per schooljaar wordt toegekend en niet per kalenderjaar wordt deze toekenning omgerekend naar kalenderjaar.</t>
  </si>
  <si>
    <r>
      <t xml:space="preserve">een </t>
    </r>
    <r>
      <rPr>
        <b/>
        <u/>
        <sz val="10"/>
        <rFont val="Calibri"/>
        <family val="2"/>
      </rPr>
      <t>raming</t>
    </r>
    <r>
      <rPr>
        <sz val="10"/>
        <rFont val="Calibri"/>
        <family val="2"/>
      </rPr>
      <t xml:space="preserve"> van de werkgeverslasten. Onderdeel van de berekening is ook de afzonderlijk berekende en zichtbare LeeftijdFase Bewust (LFB) verlof-kosten </t>
    </r>
  </si>
  <si>
    <t xml:space="preserve">als daar sprake van is. Daartoe moeten de verschillende uren verlof worden ingevuld in de betreffende kolommen. </t>
  </si>
  <si>
    <t xml:space="preserve">worden gebracht. Hiervoor is het vereist dat alle investeringen en afschrijvigen vanaf 1 augustus 2014 en de toekomstige investeringen </t>
  </si>
  <si>
    <t>Het onderscheid LO en ZO lijkt hierbij niet reëel mogelijk en is daarom achterwege gebleven.</t>
  </si>
  <si>
    <t xml:space="preserve">In dit werkblad zijn grafieken opgenomen van belangrijke ontwikkelingen in het SWV, zowel wat leerlingen, financiën als kengetallen betreft. </t>
  </si>
  <si>
    <t>Vanaf rij 79 de leerlingaantallen per categorie en per school VSO invullen.</t>
  </si>
  <si>
    <t>Kosten (uitbesteding) maken ontwikkelingsperspectief</t>
  </si>
  <si>
    <t>Component AB in budget P&amp;A</t>
  </si>
  <si>
    <t>Opslag directie</t>
  </si>
  <si>
    <t>Materieel 2014</t>
  </si>
  <si>
    <t>Materieel 2015</t>
  </si>
  <si>
    <t>Materieel 2016</t>
  </si>
  <si>
    <t>(incl. materieel)</t>
  </si>
  <si>
    <t xml:space="preserve">De afdruk van ieder werkblad in het instrument is 'geregeld', maar de instellingen daarvan zijn door iemand met ervaring </t>
  </si>
  <si>
    <r>
      <t xml:space="preserve">Het percentage leerlingen LWOO resp. PRO wordt berekend op basis van de telling 1 okt. 2012: </t>
    </r>
    <r>
      <rPr>
        <sz val="10"/>
        <rFont val="Calibri"/>
        <family val="2"/>
      </rPr>
      <t xml:space="preserve">Dat aandeel leerlingen is bepalend voor de berekening </t>
    </r>
  </si>
  <si>
    <t xml:space="preserve">betreffende VSO-scholen. Voor de herbestedingsverplichting in 2015-2016 geldt dit ook als het maximale bedrag waarvoor de herbestedingsverplichting geldt. </t>
  </si>
  <si>
    <r>
      <t xml:space="preserve">Het werkblad geeft </t>
    </r>
    <r>
      <rPr>
        <u/>
        <sz val="10"/>
        <rFont val="Calibri"/>
        <family val="2"/>
      </rPr>
      <t>ter informatie</t>
    </r>
    <r>
      <rPr>
        <sz val="10"/>
        <rFont val="Calibri"/>
        <family val="2"/>
      </rPr>
      <t xml:space="preserve"> ook weer wat de omvang is van de overdracht o.b.v. 1 oktober plus de overdracht o.b.v. de peildatum. Dan wordt ook </t>
    </r>
  </si>
  <si>
    <t xml:space="preserve">personeelslid wordt aangenomen de gegevens in het eerste jaar al kunnen worden ingevuld, zij het dan met werktijdfactor 0. In de </t>
  </si>
  <si>
    <t>bijgebogen moeten worden.</t>
  </si>
  <si>
    <t xml:space="preserve">omtrent toekenning van middelen aan de scholen automatisch laten berekenen. </t>
  </si>
  <si>
    <t xml:space="preserve">De uitgaven aan scholen kunnen hier gespecificeerd worden. Iemand met ervaring in Excel kan een eigen regeling van het SWV </t>
  </si>
  <si>
    <t>bijdrage o.b.v. tel- en peildatum</t>
  </si>
  <si>
    <t>Leerlingen VSO t.o.v alle leerlingen VO</t>
  </si>
  <si>
    <t>U kunt uw keuze opgeven in de Kijkdoos.</t>
  </si>
  <si>
    <t xml:space="preserve">De inkomsten en uitgaven van de VSO-school worden hier alleen berekend resp. overgenomen uit de Kijkdoos SWV VO voorzover het gaat om de </t>
  </si>
  <si>
    <t xml:space="preserve">overdrachtsverplichtingen van het SWV in verband met het aantal leerlingen op de tel- resp. de peildatum. </t>
  </si>
  <si>
    <t>Voor de bepaling van het overgangsbudget vult u de bedragen in die DUO voor u heeft vastgesteld in de beschikking o.b.v. de telling van 1 okt. 2011.</t>
  </si>
  <si>
    <t>De peildatum is wettelijk op 1 februari gesteld. Deze wetswijziging is recent geformaliseerd.</t>
  </si>
  <si>
    <t>1 oktobertelling (opgave per school vanaf rij 66)</t>
  </si>
  <si>
    <t>Solvabiliteit 2</t>
  </si>
  <si>
    <t>waarde per 01/01</t>
  </si>
  <si>
    <t>Bekostiging lichte ondersteuning per lln VO</t>
  </si>
  <si>
    <t>Zware bekostiging omgerekend naar kalenderjaar</t>
  </si>
  <si>
    <r>
      <t xml:space="preserve">Normatieve Rijksbijdrage OCW </t>
    </r>
    <r>
      <rPr>
        <b/>
        <i/>
        <sz val="10"/>
        <rFont val="Calibri"/>
        <family val="2"/>
      </rPr>
      <t>vanaf 1 aug. 2015</t>
    </r>
  </si>
  <si>
    <t>Bepaling percentage LWOO-leerlingen en PRO-leerlingen per 1 okt. 2012 voor bepaling bekostigd aantal leerlingen:</t>
  </si>
  <si>
    <t>Percentage LWOO-leerlingen 1 okt. 2012 voor bepaling bekostigd aantal ll</t>
  </si>
  <si>
    <t>Percentage PRO-leerlingen 1 okt. 2012 voor bepaling bekostigd aantal ll</t>
  </si>
  <si>
    <t xml:space="preserve">Totaal lichte ondersteuning incl. onderst. LWOO en PRO </t>
  </si>
  <si>
    <t>en bijdrage besturen ivm uitputting</t>
  </si>
  <si>
    <t>Meerjarenbegroting Samenwerkingsverband Passend Onderwijs VO 2016</t>
  </si>
  <si>
    <t>Dit is het instrument voor het SWV Passend Onderwijs VO voor het kalenderjaar 2016.</t>
  </si>
  <si>
    <t>Totaal lichte ondersteuning</t>
  </si>
  <si>
    <t>vanaf 1 aug. 2014</t>
  </si>
  <si>
    <t>Overige rijksbijdragen OCW naar schooljaar</t>
  </si>
  <si>
    <t>Overige rijksbijdragen OCW</t>
  </si>
  <si>
    <t xml:space="preserve">De wijzigingen m.b.t. de grondslag voor de lichte ondersteuning (aantal leerlingen VO i.p.v. het aantal leerlingen leerjaar 3 en 4 VMBO) is </t>
  </si>
  <si>
    <t>HERBESTEDINGSVERPLICHTING 2015-2016</t>
  </si>
  <si>
    <t>Arrangementen (cf. niveau opgave LGF 14-15 met prijsindex)</t>
  </si>
  <si>
    <t xml:space="preserve">De PO- en de VO-Raad adviseren om toch een complete bekostiging toe te kennen, ook voor de extra leerlingen die in het voorafgaande schooljaar na 1 oktober T-1 </t>
  </si>
  <si>
    <t>en voor 2 februari T bij de (V)SO-school zijn ingeschreven.</t>
  </si>
  <si>
    <t>Kengetallen VO</t>
  </si>
  <si>
    <t>eigen vermogen + voorzieningen</t>
  </si>
  <si>
    <t>PEILDATUM: OVERDRACHTSVERPLICHTING AAN SO EN BEREKENING EVENTUELE UITPUTTING</t>
  </si>
  <si>
    <t>Werkblad 'herbest'</t>
  </si>
  <si>
    <t xml:space="preserve">Deze bedragen worden vastgesteld op basis van de telling van 1 oktober 2013. Na 2014-2015 zijn de bedragen verhoogd met de loon- en prijsindex voor </t>
  </si>
  <si>
    <t>Personele bekosting per leerling VO</t>
  </si>
  <si>
    <t>Ondersteuningsbedrag personeel per leerling LWOO/PRO aan SWV</t>
  </si>
  <si>
    <t>Ondersteuningsbedrag materieel per leerling LWOO/PRO aan SWV</t>
  </si>
  <si>
    <t>Ondersteuningsbekostiging personeel LWOO/PRO van SWV aan school</t>
  </si>
  <si>
    <t>Ondersteuningsbekostiging materieel LWOO/PRO van SWV aan school</t>
  </si>
  <si>
    <t>Ondersteuningsbekostiging PRO materieel</t>
  </si>
  <si>
    <t>Ondersteuningsbekostiging LWOO materieel</t>
  </si>
  <si>
    <t>Ondersteuningsbekostiging LWOO personeel</t>
  </si>
  <si>
    <t>Ondersteuningsbekostiging PRO personeel</t>
  </si>
  <si>
    <t>Personele ondersteuningsbekostiging LWOO van Rijk aan SWV</t>
  </si>
  <si>
    <t>Personele ondersteuningsbekostiging SWV aan LWOO</t>
  </si>
  <si>
    <t>Personele ondersteuningsbekostiging PRO van Rijk aan SWV</t>
  </si>
  <si>
    <t>Personele ondersteuningsbekostiging SWV aan PRO</t>
  </si>
  <si>
    <t>Materiële ondersteuningsbekostiging LWOO van Rijk aan SWV</t>
  </si>
  <si>
    <t>Materiële ondersteuningsbekostiging SWV aan LWOO</t>
  </si>
  <si>
    <t>Materiële ondersteuningsbekostiging PRO van Rijk aan SWV</t>
  </si>
  <si>
    <t>Materiële ondersteuningsbekostiging SWV aan PRO</t>
  </si>
  <si>
    <t>Personele ondersteuningsbekostiging LWOO en PRO van Rijk aan SWV</t>
  </si>
  <si>
    <t>Personele ondersteuningsbekostiging SWV aan LWOO en PRO</t>
  </si>
  <si>
    <t>Bijdrage besturen ivm uitputting lichte ondersteuning materieel</t>
  </si>
  <si>
    <t>Bijdrage besturen ivm uitputting lichte ondersteuning personeel</t>
  </si>
  <si>
    <t>Bekostiging door SWV M</t>
  </si>
  <si>
    <t xml:space="preserve">BEREKENING EN SPECIFICATIE PERSONELE ONDERSTEUNINGSBEKOSTIGING SWV VOOR LWOO EN PRO </t>
  </si>
  <si>
    <t>Materiële ondersteuningsbekostiging LWOO en PRO van Rijk aan SWV</t>
  </si>
  <si>
    <t>Materiële ondersteuningsbekostiging SWV aan LWOO en PRO</t>
  </si>
  <si>
    <t>Uitputting per leerling P+M</t>
  </si>
  <si>
    <t>Verrekening vindt plaats door DUO door korting op lumpsumbekostiging per school</t>
  </si>
  <si>
    <t>Ondersteuningsbekostiging SWV voor LWOO M</t>
  </si>
  <si>
    <t>Ondersteuningsbekostiging SWV voor PRO M</t>
  </si>
  <si>
    <t>Totaal ondersteuningsbekostiging LWOO en PRO M</t>
  </si>
  <si>
    <t>Ondersteuningsbekostiging SWV voor LWOO P</t>
  </si>
  <si>
    <t>Ondersteuningsbekostiging SWV voor PRO P</t>
  </si>
  <si>
    <t>Totaal ondersteuningsbekostiging LWOO en PRO P</t>
  </si>
  <si>
    <t>Materiële bekosting per leerling VO</t>
  </si>
  <si>
    <t>Waarde activa per 01-01</t>
  </si>
  <si>
    <t xml:space="preserve">Indexering voor 2015-2016 </t>
  </si>
  <si>
    <t>materiële lasten per leerling</t>
  </si>
  <si>
    <t xml:space="preserve">(verrekening door het SWV zelf). De uitputting wordt vastgesteld voor de personele resp. materiële kosten afzonderlijk omdat het mogelijk is dat er een </t>
  </si>
  <si>
    <t>verwerkt. Inclusief de berekening van het overgangsbudget dat hierbij aan de orde is. Ook de onderbrenging van LWOO en PRO  in het</t>
  </si>
  <si>
    <t xml:space="preserve">samenwerkingsverband per 1 augustus 2015 is compleet in dit instrument opgenomen. De gewijzigde bekostiging gaat in per 1 jan. 2016 </t>
  </si>
  <si>
    <t>Het onderscheid personeel en materieel is voor de lichte ondersteuning nu volledig doorgevoerd.</t>
  </si>
  <si>
    <t>en daarbij kan sprake zijn van uitputting voor LWOO/PRO. Ook deze berekeningen zijn verwerkt en opgenomen in het werkblad LWOO-PRO.</t>
  </si>
  <si>
    <t>Die dient onderbouwd geleverd te worden door de VSO-school zelf, zo nodig in overleg.</t>
  </si>
  <si>
    <r>
      <t>Aantal leerlingen:</t>
    </r>
    <r>
      <rPr>
        <sz val="10"/>
        <rFont val="Calibri"/>
        <family val="2"/>
      </rPr>
      <t xml:space="preserve"> Het feitelijk aantal leerlingen op 1 oktober T-1. Afzonderlijk nog opgave aantal leerlingen leerjaar 3+4 VMBO 1 okt. 2013.</t>
    </r>
  </si>
  <si>
    <t xml:space="preserve">Op die wijze wordt berekend wat de omvang van de overdrachtsverplichting van het SWV per school is en van het totaal. Tegelijkertijd wordt berekend </t>
  </si>
  <si>
    <t>wat de omvang van de uitputting is, als daar sprake van is, met een specificatie voor LWOO resp. PRO en voor Personeel (P) en Materieel (M) afzonderlijk.</t>
  </si>
  <si>
    <t xml:space="preserve">In de bekostigig voor LWOO en PRO geldt ook het onderscheid P en M. De omvang van de uitputting wordt berekend in een bedrag per leerling. </t>
  </si>
  <si>
    <t>Zowel de overdrachtsverplichting als de omvang van de uitputting wordt overgebracht naar het werkblad 'pers' (rij 21) resp. 'mat' (rij 18) voor 2016.</t>
  </si>
  <si>
    <t>de peildatum waarvoor die overdrachtsverplichting geldt conform de opgave daarvan in het werkblad 'pers' (rij 168)  resp. het werkblad 'mat'</t>
  </si>
  <si>
    <t>(rij 158) o.b.v. de Kijkdoos SWV VO.</t>
  </si>
  <si>
    <t xml:space="preserve">De overdracht op basis van de peildatum moet door het SWV zelf uitgevoerd worden, inclusief de eventuele gevolgen van uitputting voor de personele </t>
  </si>
  <si>
    <t>de overige baten en lasten LO en ZO weergegeven, waaronder de kosten van de arrangementen (≡ rugzakkosten) en de omvang van de herbestedings-</t>
  </si>
  <si>
    <t>kader (rij 54 t/m 70) apart de bekostiging per schooljaar ter informatie weergegeven.</t>
  </si>
  <si>
    <t xml:space="preserve">Vanaf rij 195 kunt u de projecten in het SWV definiëren en die in het werkblad 'project' nader specificeren naar P en M. De uitgaven m.b.t. M worden </t>
  </si>
  <si>
    <t>Onderaan de pagina, vanaf rij 222, is verkort de weergave van de baten en lasten zowel naar kalenderjaar als naar schooljaar weergegeven.</t>
  </si>
  <si>
    <t>Vanaf rij 173 worden de gegevens verwerkt die u in het werkblad 'project' per project voor materiële uitgaven hebt opgegeven.</t>
  </si>
  <si>
    <t xml:space="preserve">De kalenderjaarweergave van baten en lasten is ook samengevat weergegeven en ook omgerekend naar een schooljaarweergave (rij 201 e.v.). </t>
  </si>
  <si>
    <t xml:space="preserve">Ook worden diverse ontwikkelingen geïndexeerd met als vertrekpunt het kalenderjaar 2016. Die signaleren tendensen die al dan niet </t>
  </si>
  <si>
    <t xml:space="preserve">de sheets van OCW). Zodra nieuwe bedragen bekend worden, kunnen die overgenomen worden in dit werkblad. Bij ingrijpende veranderingen zal </t>
  </si>
  <si>
    <t>Voor de materiële instandhouding VSO (Londo) betreft het de bedragen voor 2015 en 2016. Bijstelling voor 2016 bedroeg een ophoging van 0,20%.</t>
  </si>
  <si>
    <t xml:space="preserve">Bekostiging exploitatiekosten VO voor 2016 leidt tot verlaging -1,17%. Plus ingrijpende systeemwijziging m.b.t. LWOO en PRO. </t>
  </si>
  <si>
    <t>Definitieve bedragen P 2014-2015 sept. 2015 en M 2015, gevolgd door indexatie P</t>
  </si>
  <si>
    <t>loonpeil 1 aug. 2014 verhoogd met 0,8% per 1 jan. 2015</t>
  </si>
  <si>
    <t>loonpeil 1 jan. 2015 met 1,25%</t>
  </si>
  <si>
    <t>Totaal personeel</t>
  </si>
  <si>
    <t>Totaal materieel</t>
  </si>
  <si>
    <t xml:space="preserve">2015-2016. Die bijgestelde berekening voor het personele herbestedingsbedrag wordt voor 2015-2016 met 3,677% verhoogd (pg. 20 index OP </t>
  </si>
  <si>
    <t>Reg bek pers 26okt2015).</t>
  </si>
  <si>
    <t>verplichtingen (zie werkblad herbest). Die laatste twee bedragen dienen door u bijgesteld te worden o.b.v. de gemaakte afspraken.</t>
  </si>
  <si>
    <t xml:space="preserve">SWV VO </t>
  </si>
  <si>
    <t>VO9999</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</si>
  <si>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</si>
  <si>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</si>
  <si>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</si>
  <si>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</si>
  <si>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</si>
  <si>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</si>
  <si>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</si>
  <si>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</si>
  <si>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</si>
  <si>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</si>
  <si>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</si>
  <si>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</si>
  <si>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</si>
  <si>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</si>
  <si>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</si>
  <si>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</si>
  <si>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project 1</t>
  </si>
  <si>
    <t>project 2</t>
  </si>
  <si>
    <t>project 3</t>
  </si>
  <si>
    <t>project 4</t>
  </si>
  <si>
    <t>project 5</t>
  </si>
  <si>
    <t>project 6</t>
  </si>
  <si>
    <t>project 7</t>
  </si>
  <si>
    <t>project 8</t>
  </si>
  <si>
    <t>project 9</t>
  </si>
  <si>
    <t>project 10</t>
  </si>
  <si>
    <t>de bedragen 14-15 uitgesplitst naar personeel en materieel. Vanaf 15-16 worden de bedragen geindexeerd (P: 3,315% en M: 4,57%) verhoogd.</t>
  </si>
  <si>
    <t>Saldo SWV m.b.t. LWOO baten lasten</t>
  </si>
  <si>
    <t>Saldo SWV m.b.t. PRO baten lasten</t>
  </si>
  <si>
    <t>Saldo SWV voor SWV lichte ondersteuning VO</t>
  </si>
  <si>
    <t>2015/17</t>
  </si>
  <si>
    <t>GPL 2016 met loonpeil 1 januari 2016</t>
  </si>
  <si>
    <t>De komende versie voor 2017 zal ingrijpend aangepast worden vanwege onder andere:</t>
  </si>
  <si>
    <t xml:space="preserve"> - beëindiging diverse overgangsregelingen </t>
  </si>
  <si>
    <t xml:space="preserve"> - vaststelling bedragen door indexeringen</t>
  </si>
  <si>
    <t xml:space="preserve"> - vereenvoudigingen in weergave</t>
  </si>
  <si>
    <t xml:space="preserve">De bekostigingsdata zijn bijgewerkt t/m 30 maart 2016 evenals de kengetallen in de sheets van passendonderwijs.nl i.v.m. de materiële en de </t>
  </si>
  <si>
    <t>personele bekostiging PO resp. personele en exploitatiebekostiging VO.</t>
  </si>
  <si>
    <t>De GPL 2016 is aangepast en de salaristabellen 1-7-2016 zijn opgenomen zoals door de VO-Raad aangegeven met toepassing vanaf 1 januari 2016.</t>
  </si>
  <si>
    <t>Werkblad 'liq' (verborgen)</t>
  </si>
  <si>
    <t>Werkblad 'ken' (verborgen)</t>
  </si>
  <si>
    <t>Werkblad 'graf' (verborgen)</t>
  </si>
  <si>
    <t>De werkbladen Liq, Ken en Graf zijn eveneens verborgen en via 'Zichtbaar maken' tevoorschijn te halen (met rechtermuisknop klikken op naam van een werkblad).</t>
  </si>
  <si>
    <t xml:space="preserve">De nieuwe bedragen voor 2016-2017 zijn eveneens opgenomen (Regeling personele kosten PO 16-17 van 30mrt2016 en de nieuwste kengetallen uit </t>
  </si>
  <si>
    <t>een bijgestelde versie van dit instrument beschikbaar worden gesteld. Aanpassing min. loon per 1 jan. 2016 is al verwerkt evenals de cao vo.</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</si>
</sst>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2" formatCode="_ &quot;€&quot;\ * #,##0_ ;_ &quot;€&quot;\ * \-#,##0_ ;_ &quot;€&quot;\ * &quot;-&quot;_ ;_ @_ "/>
    <numFmt numFmtId="44" formatCode="_ &quot;€&quot;\ * #,##0.00_ ;_ &quot;€&quot;\ * \-#,##0.00_ ;_ &quot;€&quot;\ * &quot;-&quot;??_ ;_ @_ "/>
    <numFmt numFmtId="164" formatCode="_-&quot;€&quot;\ * #,##0_-;_-&quot;€&quot;\ * #,##0\-;_-&quot;€&quot;\ * &quot;-&quot;_-;_-@_-"/>
    <numFmt numFmtId="165" formatCode="_-&quot;€&quot;\ * #,##0.00_-;_-&quot;€&quot;\ * #,##0.00\-;_-&quot;€&quot;\ * &quot;-&quot;??_-;_-@_-"/>
    <numFmt numFmtId="166" formatCode="_(&quot;€&quot;\ * #,##0_);_(&quot;€&quot;\ * \(#,##0\);_(&quot;€&quot;\ * &quot;-&quot;_);_(@_)"/>
    <numFmt numFmtId="167" formatCode="_(&quot;€&quot;\ * #,##0.00_);_(&quot;€&quot;\ * \(#,##0.00\);_(&quot;€&quot;\ * &quot;-&quot;??_);_(@_)"/>
    <numFmt numFmtId="168" formatCode="_-&quot;fl&quot;\ * #,##0.00_-;_-&quot;fl&quot;\ * #,##0.00\-;_-&quot;fl&quot;\ * &quot;-&quot;??_-;_-@_-"/>
    <numFmt numFmtId="169" formatCode="0.0000"/>
    <numFmt numFmtId="170" formatCode="_-&quot;€&quot;\ * #,##0_-;_-&quot;€&quot;\ * #,##0\-;_-&quot;€&quot;\ * &quot;-&quot;??_-;_-@_-"/>
    <numFmt numFmtId="171" formatCode="&quot;€&quot;\ #,##0_-"/>
    <numFmt numFmtId="172" formatCode="#,##0_ ;\-#,##0\ "/>
    <numFmt numFmtId="173" formatCode="0.0%"/>
    <numFmt numFmtId="174" formatCode="dd/mm/yy"/>
    <numFmt numFmtId="175" formatCode="d\ mmmm\ yyyy"/>
    <numFmt numFmtId="176" formatCode="[$-413]d/mmm/yy;@"/>
    <numFmt numFmtId="177" formatCode="#,##0.0_ ;\-#,##0.0\ "/>
    <numFmt numFmtId="178" formatCode="0.0000%"/>
    <numFmt numFmtId="179" formatCode="#,##0.00_ ;\-#,##0.00\ "/>
    <numFmt numFmtId="180" formatCode="_-&quot;€&quot;\ * #,##0.00_-;_-&quot;€&quot;\ * #,##0.00\-;_-&quot;€&quot;\ * &quot;-&quot;_-;_-@_-"/>
    <numFmt numFmtId="181" formatCode="&quot;€&quot;\ #,##0.00_-"/>
    <numFmt numFmtId="182" formatCode="0_ ;\-0\ "/>
    <numFmt numFmtId="183" formatCode="0.0"/>
    <numFmt numFmtId="184" formatCode="_(&quot;€&quot;* #,##0_);_(&quot;€&quot;* \(#,##0\);_(&quot;€&quot;* &quot;-&quot;_);_(@_)"/>
    <numFmt numFmtId="185" formatCode="_(&quot;€&quot;* #,##0.00_);_(&quot;€&quot;* \(#,##0.00\);_(&quot;€&quot;* &quot;-&quot;??_);_(@_)"/>
    <numFmt numFmtId="186" formatCode="0.000%"/>
    <numFmt numFmtId="187" formatCode="d/mm/yy"/>
    <numFmt numFmtId="188" formatCode="0.000000"/>
    <numFmt numFmtId="189" formatCode="#,##0.0"/>
    <numFmt numFmtId="190" formatCode="#,##0.000000000_ ;\-#,##0.000000000\ "/>
    <numFmt numFmtId="191" formatCode="#,##0.000000_ ;\-#,##0.000000\ "/>
    <numFmt numFmtId="192" formatCode="_ &quot;€&quot;\ * #,##0.000000_ ;_ &quot;€&quot;\ * \-#,##0.000000_ ;_ &quot;€&quot;\ * &quot;-&quot;??????_ ;_ @_ "/>
  </numFmts>
  <fonts count="152" x14ac:knownFonts="1">
    <font>
      <sz val="10"/>
      <name val="Arial"/>
    </font>
    <font>
      <sz val="10"/>
      <name val="Arial"/>
      <family val="2"/>
    </font>
    <font>
      <sz val="8"/>
      <color indexed="81"/>
      <name val="Tahoma"/>
      <family val="2"/>
    </font>
    <font>
      <sz val="9"/>
      <color indexed="81"/>
      <name val="Tahoma"/>
      <family val="2"/>
    </font>
    <font>
      <u/>
      <sz val="10"/>
      <color indexed="12"/>
      <name val="Arial"/>
      <family val="2"/>
    </font>
    <font>
      <sz val="8"/>
      <name val="Arial"/>
      <family val="2"/>
    </font>
    <font>
      <sz val="10"/>
      <name val="Calibri"/>
      <family val="2"/>
    </font>
    <font>
      <b/>
      <sz val="10"/>
      <name val="Calibri"/>
      <family val="2"/>
    </font>
    <font>
      <b/>
      <sz val="10"/>
      <color indexed="10"/>
      <name val="Calibri"/>
      <family val="2"/>
    </font>
    <font>
      <b/>
      <u/>
      <sz val="10"/>
      <name val="Calibri"/>
      <family val="2"/>
    </font>
    <font>
      <b/>
      <sz val="12"/>
      <name val="Calibri"/>
      <family val="2"/>
    </font>
    <font>
      <sz val="10"/>
      <name val="Calibri"/>
      <family val="2"/>
    </font>
    <font>
      <b/>
      <sz val="10"/>
      <name val="Calibri"/>
      <family val="2"/>
    </font>
    <font>
      <b/>
      <i/>
      <sz val="10"/>
      <name val="Calibri"/>
      <family val="2"/>
    </font>
    <font>
      <b/>
      <sz val="14"/>
      <name val="Calibri"/>
      <family val="2"/>
    </font>
    <font>
      <i/>
      <sz val="10"/>
      <name val="Calibri"/>
      <family val="2"/>
    </font>
    <font>
      <sz val="14"/>
      <name val="Calibri"/>
      <family val="2"/>
    </font>
    <font>
      <sz val="12"/>
      <name val="Calibri"/>
      <family val="2"/>
    </font>
    <font>
      <sz val="11"/>
      <name val="Calibri"/>
      <family val="2"/>
    </font>
    <font>
      <b/>
      <sz val="11"/>
      <name val="Calibri"/>
      <family val="2"/>
    </font>
    <font>
      <b/>
      <i/>
      <sz val="12"/>
      <name val="Calibri"/>
      <family val="2"/>
    </font>
    <font>
      <i/>
      <sz val="10"/>
      <color indexed="10"/>
      <name val="Calibri"/>
      <family val="2"/>
    </font>
    <font>
      <b/>
      <i/>
      <sz val="10"/>
      <color indexed="10"/>
      <name val="Calibri"/>
      <family val="2"/>
    </font>
    <font>
      <b/>
      <sz val="14"/>
      <color indexed="10"/>
      <name val="Calibri"/>
      <family val="2"/>
    </font>
    <font>
      <b/>
      <sz val="10"/>
      <color indexed="10"/>
      <name val="Calibri"/>
      <family val="2"/>
    </font>
    <font>
      <sz val="10"/>
      <color indexed="10"/>
      <name val="Calibri"/>
      <family val="2"/>
    </font>
    <font>
      <sz val="14"/>
      <color indexed="10"/>
      <name val="Calibri"/>
      <family val="2"/>
    </font>
    <font>
      <b/>
      <i/>
      <sz val="14"/>
      <color indexed="10"/>
      <name val="Calibri"/>
      <family val="2"/>
    </font>
    <font>
      <i/>
      <sz val="14"/>
      <color indexed="10"/>
      <name val="Calibri"/>
      <family val="2"/>
    </font>
    <font>
      <sz val="8"/>
      <name val="Calibri"/>
      <family val="2"/>
    </font>
    <font>
      <i/>
      <sz val="10"/>
      <color indexed="62"/>
      <name val="Calibri"/>
      <family val="2"/>
    </font>
    <font>
      <sz val="10"/>
      <color indexed="62"/>
      <name val="Calibri"/>
      <family val="2"/>
    </font>
    <font>
      <b/>
      <i/>
      <sz val="14"/>
      <name val="Calibri"/>
      <family val="2"/>
    </font>
    <font>
      <b/>
      <sz val="10"/>
      <color indexed="62"/>
      <name val="Calibri"/>
      <family val="2"/>
    </font>
    <font>
      <b/>
      <sz val="10"/>
      <color indexed="9"/>
      <name val="Calibri"/>
      <family val="2"/>
    </font>
    <font>
      <sz val="10"/>
      <color indexed="12"/>
      <name val="Calibri"/>
      <family val="2"/>
    </font>
    <font>
      <b/>
      <sz val="14"/>
      <color indexed="60"/>
      <name val="Calibri"/>
      <family val="2"/>
    </font>
    <font>
      <i/>
      <sz val="10"/>
      <color indexed="60"/>
      <name val="Calibri"/>
      <family val="2"/>
    </font>
    <font>
      <sz val="10"/>
      <color indexed="60"/>
      <name val="Calibri"/>
      <family val="2"/>
    </font>
    <font>
      <b/>
      <i/>
      <sz val="10"/>
      <color indexed="60"/>
      <name val="Calibri"/>
      <family val="2"/>
    </font>
    <font>
      <b/>
      <sz val="10"/>
      <color indexed="60"/>
      <name val="Calibri"/>
      <family val="2"/>
    </font>
    <font>
      <b/>
      <i/>
      <sz val="10"/>
      <color indexed="9"/>
      <name val="Calibri"/>
      <family val="2"/>
    </font>
    <font>
      <sz val="10"/>
      <color indexed="9"/>
      <name val="Calibri"/>
      <family val="2"/>
    </font>
    <font>
      <b/>
      <sz val="10"/>
      <color indexed="9"/>
      <name val="Calibri"/>
      <family val="2"/>
    </font>
    <font>
      <i/>
      <sz val="10"/>
      <color indexed="9"/>
      <name val="Calibri"/>
      <family val="2"/>
    </font>
    <font>
      <sz val="10"/>
      <color indexed="81"/>
      <name val="Tahoma"/>
      <family val="2"/>
    </font>
    <font>
      <sz val="10"/>
      <color indexed="30"/>
      <name val="Calibri"/>
      <family val="2"/>
    </font>
    <font>
      <sz val="8"/>
      <name val="Arial"/>
      <family val="2"/>
    </font>
    <font>
      <sz val="10"/>
      <color indexed="22"/>
      <name val="Calibri"/>
      <family val="2"/>
    </font>
    <font>
      <b/>
      <sz val="10"/>
      <color indexed="60"/>
      <name val="Calibri"/>
      <family val="2"/>
    </font>
    <font>
      <b/>
      <sz val="14"/>
      <color indexed="60"/>
      <name val="Calibri"/>
      <family val="2"/>
    </font>
    <font>
      <b/>
      <sz val="10"/>
      <color indexed="9"/>
      <name val="Calibri"/>
      <family val="2"/>
    </font>
    <font>
      <b/>
      <i/>
      <sz val="10"/>
      <color indexed="9"/>
      <name val="Calibri"/>
      <family val="2"/>
    </font>
    <font>
      <sz val="10"/>
      <color indexed="60"/>
      <name val="Calibri"/>
      <family val="2"/>
    </font>
    <font>
      <i/>
      <sz val="10"/>
      <color indexed="60"/>
      <name val="Calibri"/>
      <family val="2"/>
    </font>
    <font>
      <b/>
      <i/>
      <sz val="10"/>
      <color indexed="60"/>
      <name val="Calibri"/>
      <family val="2"/>
    </font>
    <font>
      <b/>
      <i/>
      <sz val="10"/>
      <color indexed="22"/>
      <name val="Calibri"/>
      <family val="2"/>
    </font>
    <font>
      <b/>
      <sz val="9"/>
      <color indexed="81"/>
      <name val="Tahoma"/>
      <family val="2"/>
    </font>
    <font>
      <sz val="10"/>
      <color indexed="10"/>
      <name val="Calibri"/>
      <family val="2"/>
    </font>
    <font>
      <sz val="10"/>
      <color indexed="60"/>
      <name val="Calibri"/>
      <family val="2"/>
    </font>
    <font>
      <i/>
      <sz val="10"/>
      <color indexed="60"/>
      <name val="Calibri"/>
      <family val="2"/>
    </font>
    <font>
      <b/>
      <i/>
      <sz val="10"/>
      <color indexed="60"/>
      <name val="Calibri"/>
      <family val="2"/>
    </font>
    <font>
      <b/>
      <sz val="10"/>
      <color indexed="60"/>
      <name val="Calibri"/>
      <family val="2"/>
    </font>
    <font>
      <b/>
      <sz val="14"/>
      <color indexed="60"/>
      <name val="Calibri"/>
      <family val="2"/>
    </font>
    <font>
      <sz val="10"/>
      <color indexed="9"/>
      <name val="Calibri"/>
      <family val="2"/>
    </font>
    <font>
      <sz val="10"/>
      <color indexed="23"/>
      <name val="Calibri"/>
      <family val="2"/>
    </font>
    <font>
      <b/>
      <sz val="10"/>
      <color indexed="30"/>
      <name val="Calibri"/>
      <family val="2"/>
    </font>
    <font>
      <sz val="10"/>
      <color indexed="30"/>
      <name val="Calibri"/>
      <family val="2"/>
    </font>
    <font>
      <b/>
      <i/>
      <sz val="10"/>
      <color indexed="30"/>
      <name val="Calibri"/>
      <family val="2"/>
    </font>
    <font>
      <i/>
      <sz val="10"/>
      <color indexed="30"/>
      <name val="Calibri"/>
      <family val="2"/>
    </font>
    <font>
      <sz val="14"/>
      <color indexed="60"/>
      <name val="Calibri"/>
      <family val="2"/>
    </font>
    <font>
      <b/>
      <i/>
      <sz val="14"/>
      <color indexed="60"/>
      <name val="Calibri"/>
      <family val="2"/>
    </font>
    <font>
      <i/>
      <sz val="14"/>
      <color indexed="60"/>
      <name val="Calibri"/>
      <family val="2"/>
    </font>
    <font>
      <sz val="10"/>
      <color indexed="60"/>
      <name val="Arial"/>
      <family val="2"/>
    </font>
    <font>
      <b/>
      <sz val="10"/>
      <color indexed="9"/>
      <name val="Calibri"/>
      <family val="2"/>
    </font>
    <font>
      <sz val="10"/>
      <color indexed="10"/>
      <name val="Arial"/>
      <family val="2"/>
    </font>
    <font>
      <b/>
      <sz val="14"/>
      <name val="Arial"/>
      <family val="2"/>
    </font>
    <font>
      <b/>
      <sz val="10"/>
      <name val="Arial"/>
      <family val="2"/>
    </font>
    <font>
      <i/>
      <sz val="10"/>
      <color indexed="8"/>
      <name val="Calibri"/>
      <family val="2"/>
    </font>
    <font>
      <i/>
      <sz val="10"/>
      <color indexed="9"/>
      <name val="Calibri"/>
      <family val="2"/>
    </font>
    <font>
      <b/>
      <sz val="12"/>
      <color indexed="60"/>
      <name val="Calibri"/>
      <family val="2"/>
    </font>
    <font>
      <sz val="10"/>
      <color indexed="8"/>
      <name val="Calibri"/>
      <family val="2"/>
    </font>
    <font>
      <sz val="11"/>
      <color indexed="9"/>
      <name val="Calibri"/>
      <family val="2"/>
    </font>
    <font>
      <sz val="8"/>
      <name val="Arial"/>
      <family val="2"/>
    </font>
    <font>
      <b/>
      <sz val="10"/>
      <color indexed="60"/>
      <name val="Calibri"/>
      <family val="2"/>
    </font>
    <font>
      <sz val="10"/>
      <color indexed="9"/>
      <name val="Calibri"/>
      <family val="2"/>
    </font>
    <font>
      <b/>
      <i/>
      <sz val="10"/>
      <color indexed="60"/>
      <name val="Calibri"/>
      <family val="2"/>
    </font>
    <font>
      <b/>
      <sz val="10"/>
      <color indexed="9"/>
      <name val="Calibri"/>
      <family val="2"/>
    </font>
    <font>
      <sz val="10"/>
      <color indexed="60"/>
      <name val="Calibri"/>
      <family val="2"/>
    </font>
    <font>
      <i/>
      <sz val="10"/>
      <color indexed="60"/>
      <name val="Calibri"/>
      <family val="2"/>
    </font>
    <font>
      <b/>
      <sz val="14"/>
      <color indexed="60"/>
      <name val="Calibri"/>
      <family val="2"/>
    </font>
    <font>
      <sz val="10"/>
      <color theme="0"/>
      <name val="Calibri"/>
      <family val="2"/>
    </font>
    <font>
      <sz val="10"/>
      <name val="Calibri"/>
      <family val="2"/>
      <scheme val="minor"/>
    </font>
    <font>
      <b/>
      <i/>
      <sz val="10"/>
      <color theme="0"/>
      <name val="Calibri"/>
      <family val="2"/>
    </font>
    <font>
      <u/>
      <sz val="10"/>
      <color theme="0"/>
      <name val="Arial"/>
      <family val="2"/>
    </font>
    <font>
      <b/>
      <sz val="14"/>
      <color rgb="FFC00000"/>
      <name val="Calibri"/>
      <family val="2"/>
    </font>
    <font>
      <b/>
      <i/>
      <sz val="10"/>
      <color rgb="FFC00000"/>
      <name val="Calibri"/>
      <family val="2"/>
    </font>
    <font>
      <b/>
      <sz val="10"/>
      <color rgb="FFC00000"/>
      <name val="Calibri"/>
      <family val="2"/>
    </font>
    <font>
      <i/>
      <sz val="10"/>
      <color rgb="FFC00000"/>
      <name val="Calibri"/>
      <family val="2"/>
    </font>
    <font>
      <b/>
      <sz val="10"/>
      <color theme="0"/>
      <name val="Calibri"/>
      <family val="2"/>
    </font>
    <font>
      <i/>
      <sz val="10"/>
      <color rgb="FF0070C0"/>
      <name val="Calibri"/>
      <family val="2"/>
    </font>
    <font>
      <sz val="10"/>
      <color theme="0" tint="-4.9989318521683403E-2"/>
      <name val="Calibri"/>
      <family val="2"/>
    </font>
    <font>
      <sz val="10"/>
      <color rgb="FF0066CC"/>
      <name val="Calibri"/>
      <family val="2"/>
    </font>
    <font>
      <b/>
      <sz val="10"/>
      <color rgb="FFA40000"/>
      <name val="Calibri"/>
      <family val="2"/>
    </font>
    <font>
      <b/>
      <i/>
      <sz val="10"/>
      <color rgb="FFA40000"/>
      <name val="Calibri"/>
      <family val="2"/>
    </font>
    <font>
      <b/>
      <sz val="10"/>
      <name val="Calibri"/>
      <family val="2"/>
      <scheme val="minor"/>
    </font>
    <font>
      <b/>
      <i/>
      <sz val="12"/>
      <color indexed="60"/>
      <name val="Calibri"/>
      <family val="2"/>
    </font>
    <font>
      <sz val="10"/>
      <color rgb="FFFF0000"/>
      <name val="Calibri"/>
      <family val="2"/>
    </font>
    <font>
      <b/>
      <i/>
      <sz val="10"/>
      <color rgb="FFA40000"/>
      <name val="Calibri"/>
      <family val="2"/>
      <scheme val="minor"/>
    </font>
    <font>
      <i/>
      <sz val="10"/>
      <color rgb="FFA40000"/>
      <name val="Calibri"/>
      <family val="2"/>
    </font>
    <font>
      <b/>
      <sz val="14"/>
      <color rgb="FF993300"/>
      <name val="Calibri"/>
      <family val="2"/>
    </font>
    <font>
      <b/>
      <i/>
      <sz val="10"/>
      <color rgb="FF993300"/>
      <name val="Calibri"/>
      <family val="2"/>
      <scheme val="minor"/>
    </font>
    <font>
      <sz val="11"/>
      <name val="Calibri"/>
      <family val="2"/>
      <scheme val="minor"/>
    </font>
    <font>
      <b/>
      <sz val="11"/>
      <name val="Calibri"/>
      <family val="2"/>
      <scheme val="minor"/>
    </font>
    <font>
      <b/>
      <sz val="11"/>
      <color indexed="9"/>
      <name val="Calibri"/>
      <family val="2"/>
      <scheme val="minor"/>
    </font>
    <font>
      <b/>
      <i/>
      <sz val="11"/>
      <color rgb="FF993300"/>
      <name val="Calibri"/>
      <family val="2"/>
    </font>
    <font>
      <i/>
      <sz val="10"/>
      <color rgb="FF993300"/>
      <name val="Calibri"/>
      <family val="2"/>
    </font>
    <font>
      <b/>
      <i/>
      <sz val="10"/>
      <color rgb="FF993300"/>
      <name val="Calibri"/>
      <family val="2"/>
    </font>
    <font>
      <b/>
      <i/>
      <sz val="10"/>
      <color theme="0"/>
      <name val="Calibri"/>
      <family val="2"/>
      <scheme val="minor"/>
    </font>
    <font>
      <sz val="10"/>
      <color rgb="FF993300"/>
      <name val="Calibri"/>
      <family val="2"/>
    </font>
    <font>
      <sz val="10"/>
      <color rgb="FF0070C0"/>
      <name val="Calibri"/>
      <family val="2"/>
    </font>
    <font>
      <b/>
      <sz val="10"/>
      <color rgb="FF0070C0"/>
      <name val="Calibri"/>
      <family val="2"/>
    </font>
    <font>
      <b/>
      <sz val="12"/>
      <color rgb="FFC00000"/>
      <name val="Calibri"/>
      <family val="2"/>
    </font>
    <font>
      <u/>
      <sz val="10"/>
      <name val="Calibri"/>
      <family val="2"/>
    </font>
    <font>
      <i/>
      <sz val="10"/>
      <color theme="0"/>
      <name val="Calibri"/>
      <family val="2"/>
    </font>
    <font>
      <b/>
      <i/>
      <sz val="12"/>
      <color rgb="FF993300"/>
      <name val="Calibri"/>
      <family val="2"/>
    </font>
    <font>
      <b/>
      <sz val="10"/>
      <color rgb="FF993300"/>
      <name val="Calibri"/>
      <family val="2"/>
    </font>
    <font>
      <b/>
      <u/>
      <sz val="9"/>
      <color indexed="81"/>
      <name val="Tahoma"/>
      <family val="2"/>
    </font>
    <font>
      <b/>
      <sz val="10"/>
      <color rgb="FF0066CC"/>
      <name val="Calibri"/>
      <family val="2"/>
    </font>
    <font>
      <sz val="10"/>
      <color indexed="10"/>
      <name val="Calibri"/>
      <family val="2"/>
      <scheme val="minor"/>
    </font>
    <font>
      <b/>
      <sz val="10"/>
      <color rgb="FFA40000"/>
      <name val="Calibri"/>
      <family val="2"/>
      <scheme val="minor"/>
    </font>
    <font>
      <sz val="10"/>
      <color indexed="60"/>
      <name val="Calibri"/>
      <family val="2"/>
      <scheme val="minor"/>
    </font>
    <font>
      <sz val="10"/>
      <color rgb="FFA40000"/>
      <name val="Calibri"/>
      <family val="2"/>
      <scheme val="minor"/>
    </font>
    <font>
      <i/>
      <sz val="10"/>
      <color indexed="60"/>
      <name val="Calibri"/>
      <family val="2"/>
      <scheme val="minor"/>
    </font>
    <font>
      <i/>
      <sz val="10"/>
      <color rgb="FF993300"/>
      <name val="Calibri"/>
      <family val="2"/>
      <scheme val="minor"/>
    </font>
    <font>
      <i/>
      <sz val="10"/>
      <color rgb="FFA40000"/>
      <name val="Calibri"/>
      <family val="2"/>
      <scheme val="minor"/>
    </font>
    <font>
      <i/>
      <sz val="10"/>
      <name val="Calibri"/>
      <family val="2"/>
      <scheme val="minor"/>
    </font>
    <font>
      <i/>
      <sz val="10"/>
      <color indexed="10"/>
      <name val="Calibri"/>
      <family val="2"/>
      <scheme val="minor"/>
    </font>
    <font>
      <sz val="10"/>
      <color theme="0"/>
      <name val="Calibri"/>
      <family val="2"/>
      <scheme val="minor"/>
    </font>
    <font>
      <b/>
      <i/>
      <sz val="10"/>
      <name val="Calibri"/>
      <family val="2"/>
      <scheme val="minor"/>
    </font>
    <font>
      <sz val="10"/>
      <color theme="0" tint="-0.249977111117893"/>
      <name val="Calibri"/>
      <family val="2"/>
      <scheme val="minor"/>
    </font>
    <font>
      <i/>
      <sz val="10"/>
      <color rgb="FFFF0000"/>
      <name val="Calibri"/>
      <family val="2"/>
      <scheme val="minor"/>
    </font>
    <font>
      <b/>
      <i/>
      <sz val="10"/>
      <color indexed="10"/>
      <name val="Calibri"/>
      <family val="2"/>
      <scheme val="minor"/>
    </font>
    <font>
      <b/>
      <sz val="8"/>
      <name val="Calibri"/>
      <family val="2"/>
      <scheme val="minor"/>
    </font>
    <font>
      <sz val="8"/>
      <name val="Calibri"/>
      <family val="2"/>
      <scheme val="minor"/>
    </font>
    <font>
      <b/>
      <sz val="8"/>
      <color indexed="10"/>
      <name val="Calibri"/>
      <family val="2"/>
      <scheme val="minor"/>
    </font>
    <font>
      <b/>
      <sz val="10"/>
      <color theme="0" tint="-0.14999847407452621"/>
      <name val="Calibri"/>
      <family val="2"/>
      <scheme val="minor"/>
    </font>
    <font>
      <sz val="10"/>
      <color theme="0" tint="-0.34998626667073579"/>
      <name val="Calibri"/>
      <family val="2"/>
      <scheme val="minor"/>
    </font>
    <font>
      <b/>
      <i/>
      <sz val="12"/>
      <color rgb="FFC00000"/>
      <name val="Calibri"/>
      <family val="2"/>
    </font>
    <font>
      <u/>
      <sz val="9"/>
      <color indexed="81"/>
      <name val="Tahoma"/>
      <family val="2"/>
    </font>
    <font>
      <b/>
      <sz val="10"/>
      <color indexed="10"/>
      <name val="Calibri"/>
      <family val="2"/>
      <scheme val="minor"/>
    </font>
    <font>
      <sz val="10"/>
      <color theme="0" tint="-0.14999847407452621"/>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0"/>
        <bgColor indexed="64"/>
      </patternFill>
    </fill>
    <fill>
      <patternFill patternType="solid">
        <fgColor indexed="13"/>
        <bgColor indexed="64"/>
      </patternFill>
    </fill>
    <fill>
      <patternFill patternType="solid">
        <fgColor rgb="FF0070C0"/>
        <bgColor indexed="64"/>
      </patternFill>
    </fill>
    <fill>
      <patternFill patternType="solid">
        <fgColor rgb="FFFFFF00"/>
        <bgColor indexed="64"/>
      </patternFill>
    </fill>
    <fill>
      <patternFill patternType="solid">
        <fgColor rgb="FFC0C0C0"/>
        <bgColor indexed="64"/>
      </patternFill>
    </fill>
    <fill>
      <patternFill patternType="solid">
        <fgColor theme="0" tint="-0.249977111117893"/>
        <bgColor indexed="64"/>
      </patternFill>
    </fill>
    <fill>
      <patternFill patternType="solid">
        <fgColor rgb="FF0066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006EC0"/>
        <bgColor indexed="64"/>
      </patternFill>
    </fill>
    <fill>
      <patternFill patternType="solid">
        <fgColor rgb="FFFFFF99"/>
        <bgColor indexed="64"/>
      </patternFill>
    </fill>
  </fills>
  <borders count="146">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indexed="9"/>
      </bottom>
      <diagonal/>
    </border>
    <border>
      <left/>
      <right/>
      <top/>
      <bottom style="thin">
        <color indexed="22"/>
      </bottom>
      <diagonal/>
    </border>
    <border>
      <left style="thin">
        <color indexed="22"/>
      </left>
      <right style="thin">
        <color indexed="22"/>
      </right>
      <top/>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22"/>
      </top>
      <bottom style="thin">
        <color indexed="22"/>
      </bottom>
      <diagonal/>
    </border>
    <border>
      <left/>
      <right style="thin">
        <color indexed="22"/>
      </right>
      <top/>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auto="1"/>
      </right>
      <top/>
      <bottom/>
      <diagonal/>
    </border>
    <border>
      <left style="thin">
        <color theme="0"/>
      </left>
      <right style="thin">
        <color theme="0"/>
      </right>
      <top style="thin">
        <color rgb="FFC0C0C0"/>
      </top>
      <bottom style="thin">
        <color rgb="FFC0C0C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top/>
      <bottom style="thin">
        <color theme="0" tint="-0.34998626667073579"/>
      </bottom>
      <diagonal/>
    </border>
    <border>
      <left/>
      <right/>
      <top/>
      <bottom style="thin">
        <color theme="0" tint="-0.24994659260841701"/>
      </bottom>
      <diagonal/>
    </border>
    <border>
      <left style="thin">
        <color indexed="22"/>
      </left>
      <right/>
      <top/>
      <bottom/>
      <diagonal/>
    </border>
    <border>
      <left style="thin">
        <color theme="0" tint="-0.24994659260841701"/>
      </left>
      <right/>
      <top style="thin">
        <color theme="0" tint="-0.24994659260841701"/>
      </top>
      <bottom style="thin">
        <color theme="0" tint="-0.24994659260841701"/>
      </bottom>
      <diagonal/>
    </border>
    <border>
      <left style="thin">
        <color auto="1"/>
      </left>
      <right/>
      <top/>
      <bottom/>
      <diagonal/>
    </border>
    <border>
      <left/>
      <right/>
      <top style="thin">
        <color theme="0" tint="-0.34998626667073579"/>
      </top>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22"/>
      </top>
      <bottom style="thin">
        <color indexed="22"/>
      </bottom>
      <diagonal/>
    </border>
    <border>
      <left style="thin">
        <color indexed="9"/>
      </left>
      <right style="thin">
        <color indexed="22"/>
      </right>
      <top style="thin">
        <color indexed="22"/>
      </top>
      <bottom style="thin">
        <color indexed="22"/>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right/>
      <top/>
      <bottom style="thin">
        <color theme="0"/>
      </bottom>
      <diagonal/>
    </border>
    <border>
      <left/>
      <right/>
      <top style="thin">
        <color theme="0"/>
      </top>
      <bottom/>
      <diagonal/>
    </border>
    <border>
      <left style="thin">
        <color theme="0" tint="-0.24994659260841701"/>
      </left>
      <right style="thin">
        <color theme="0" tint="-0.24994659260841701"/>
      </right>
      <top style="thin">
        <color theme="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style="thin">
        <color auto="1"/>
      </right>
      <top style="thin">
        <color auto="1"/>
      </top>
      <bottom style="thin">
        <color indexed="22"/>
      </bottom>
      <diagonal/>
    </border>
    <border>
      <left style="thin">
        <color rgb="FFC0C0C0"/>
      </left>
      <right/>
      <top style="thin">
        <color rgb="FFC0C0C0"/>
      </top>
      <bottom style="thin">
        <color rgb="FFC0C0C0"/>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rgb="FFC0C0C0"/>
      </top>
      <bottom style="thin">
        <color rgb="FFC0C0C0"/>
      </bottom>
      <diagonal/>
    </border>
    <border>
      <left style="thin">
        <color theme="0"/>
      </left>
      <right/>
      <top style="thin">
        <color theme="0"/>
      </top>
      <bottom style="thin">
        <color theme="0"/>
      </bottom>
      <diagonal/>
    </border>
    <border>
      <left style="thin">
        <color theme="0" tint="-0.24994659260841701"/>
      </left>
      <right style="thin">
        <color indexed="22"/>
      </right>
      <top style="thin">
        <color theme="0" tint="-0.24994659260841701"/>
      </top>
      <bottom style="thin">
        <color indexed="22"/>
      </bottom>
      <diagonal/>
    </border>
    <border>
      <left style="thin">
        <color indexed="22"/>
      </left>
      <right style="thin">
        <color indexed="22"/>
      </right>
      <top style="thin">
        <color theme="0" tint="-0.24994659260841701"/>
      </top>
      <bottom style="thin">
        <color indexed="22"/>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indexed="22"/>
      </right>
      <top style="thin">
        <color indexed="22"/>
      </top>
      <bottom style="thin">
        <color indexed="22"/>
      </bottom>
      <diagonal/>
    </border>
    <border>
      <left style="thin">
        <color indexed="22"/>
      </left>
      <right style="thin">
        <color theme="0" tint="-0.24994659260841701"/>
      </right>
      <top style="thin">
        <color indexed="22"/>
      </top>
      <bottom style="thin">
        <color indexed="22"/>
      </bottom>
      <diagonal/>
    </border>
    <border>
      <left style="thin">
        <color theme="0" tint="-0.24994659260841701"/>
      </left>
      <right style="thin">
        <color indexed="22"/>
      </right>
      <top/>
      <bottom style="thin">
        <color indexed="22"/>
      </bottom>
      <diagonal/>
    </border>
    <border>
      <left style="thin">
        <color indexed="22"/>
      </left>
      <right style="thin">
        <color theme="0" tint="-0.24994659260841701"/>
      </right>
      <top/>
      <bottom style="thin">
        <color indexed="22"/>
      </bottom>
      <diagonal/>
    </border>
    <border>
      <left style="thin">
        <color theme="0" tint="-0.24994659260841701"/>
      </left>
      <right style="thin">
        <color indexed="22"/>
      </right>
      <top/>
      <bottom style="thin">
        <color theme="0" tint="-0.24994659260841701"/>
      </bottom>
      <diagonal/>
    </border>
    <border>
      <left style="thin">
        <color indexed="22"/>
      </left>
      <right style="thin">
        <color indexed="22"/>
      </right>
      <top/>
      <bottom style="thin">
        <color theme="0" tint="-0.24994659260841701"/>
      </bottom>
      <diagonal/>
    </border>
    <border>
      <left style="thin">
        <color indexed="22"/>
      </left>
      <right style="thin">
        <color theme="0" tint="-0.24994659260841701"/>
      </right>
      <top/>
      <bottom style="thin">
        <color theme="0" tint="-0.24994659260841701"/>
      </bottom>
      <diagonal/>
    </border>
    <border>
      <left style="double">
        <color rgb="FFA40000"/>
      </left>
      <right style="thin">
        <color indexed="22"/>
      </right>
      <top style="double">
        <color rgb="FFA40000"/>
      </top>
      <bottom style="thin">
        <color indexed="22"/>
      </bottom>
      <diagonal/>
    </border>
    <border>
      <left style="thin">
        <color indexed="22"/>
      </left>
      <right style="thin">
        <color indexed="22"/>
      </right>
      <top style="double">
        <color rgb="FFA40000"/>
      </top>
      <bottom/>
      <diagonal/>
    </border>
    <border>
      <left style="thin">
        <color indexed="22"/>
      </left>
      <right style="double">
        <color rgb="FFA40000"/>
      </right>
      <top style="double">
        <color rgb="FFA40000"/>
      </top>
      <bottom style="thin">
        <color indexed="22"/>
      </bottom>
      <diagonal/>
    </border>
    <border>
      <left style="double">
        <color rgb="FFA40000"/>
      </left>
      <right/>
      <top style="thin">
        <color indexed="22"/>
      </top>
      <bottom style="thin">
        <color indexed="22"/>
      </bottom>
      <diagonal/>
    </border>
    <border>
      <left/>
      <right style="double">
        <color rgb="FFA40000"/>
      </right>
      <top style="thin">
        <color indexed="22"/>
      </top>
      <bottom style="thin">
        <color indexed="22"/>
      </bottom>
      <diagonal/>
    </border>
    <border>
      <left/>
      <right style="double">
        <color rgb="FFA40000"/>
      </right>
      <top/>
      <bottom style="thin">
        <color indexed="22"/>
      </bottom>
      <diagonal/>
    </border>
    <border>
      <left style="double">
        <color rgb="FFA40000"/>
      </left>
      <right style="thin">
        <color indexed="22"/>
      </right>
      <top style="thin">
        <color indexed="22"/>
      </top>
      <bottom style="double">
        <color rgb="FFA40000"/>
      </bottom>
      <diagonal/>
    </border>
    <border>
      <left style="thin">
        <color indexed="22"/>
      </left>
      <right style="thin">
        <color indexed="22"/>
      </right>
      <top/>
      <bottom style="double">
        <color rgb="FFA40000"/>
      </bottom>
      <diagonal/>
    </border>
    <border>
      <left style="thin">
        <color indexed="22"/>
      </left>
      <right style="double">
        <color rgb="FFA40000"/>
      </right>
      <top/>
      <bottom style="double">
        <color rgb="FFA40000"/>
      </bottom>
      <diagonal/>
    </border>
    <border>
      <left style="double">
        <color rgb="FFA40000"/>
      </left>
      <right/>
      <top style="double">
        <color rgb="FFA40000"/>
      </top>
      <bottom/>
      <diagonal/>
    </border>
    <border>
      <left/>
      <right/>
      <top style="double">
        <color rgb="FFA40000"/>
      </top>
      <bottom/>
      <diagonal/>
    </border>
    <border>
      <left/>
      <right style="double">
        <color rgb="FFA40000"/>
      </right>
      <top style="double">
        <color rgb="FFA40000"/>
      </top>
      <bottom/>
      <diagonal/>
    </border>
    <border>
      <left style="double">
        <color rgb="FFA40000"/>
      </left>
      <right/>
      <top/>
      <bottom/>
      <diagonal/>
    </border>
    <border>
      <left/>
      <right style="double">
        <color rgb="FFA40000"/>
      </right>
      <top/>
      <bottom/>
      <diagonal/>
    </border>
    <border>
      <left style="double">
        <color rgb="FFA40000"/>
      </left>
      <right/>
      <top/>
      <bottom style="double">
        <color rgb="FFA40000"/>
      </bottom>
      <diagonal/>
    </border>
    <border>
      <left/>
      <right/>
      <top/>
      <bottom style="double">
        <color rgb="FFA40000"/>
      </bottom>
      <diagonal/>
    </border>
    <border>
      <left/>
      <right style="double">
        <color rgb="FFA40000"/>
      </right>
      <top/>
      <bottom style="double">
        <color rgb="FFA40000"/>
      </bottom>
      <diagonal/>
    </border>
    <border>
      <left style="double">
        <color rgb="FFC00000"/>
      </left>
      <right style="thin">
        <color indexed="22"/>
      </right>
      <top style="double">
        <color rgb="FFC00000"/>
      </top>
      <bottom style="thin">
        <color indexed="22"/>
      </bottom>
      <diagonal/>
    </border>
    <border>
      <left style="thin">
        <color indexed="22"/>
      </left>
      <right style="thin">
        <color indexed="22"/>
      </right>
      <top style="double">
        <color rgb="FFC00000"/>
      </top>
      <bottom style="thin">
        <color indexed="22"/>
      </bottom>
      <diagonal/>
    </border>
    <border>
      <left style="thin">
        <color indexed="22"/>
      </left>
      <right style="thin">
        <color indexed="22"/>
      </right>
      <top style="double">
        <color rgb="FFC00000"/>
      </top>
      <bottom/>
      <diagonal/>
    </border>
    <border>
      <left style="thin">
        <color indexed="22"/>
      </left>
      <right style="double">
        <color rgb="FFC00000"/>
      </right>
      <top style="double">
        <color rgb="FFC00000"/>
      </top>
      <bottom style="thin">
        <color indexed="22"/>
      </bottom>
      <diagonal/>
    </border>
    <border>
      <left style="double">
        <color rgb="FFC00000"/>
      </left>
      <right style="thin">
        <color indexed="22"/>
      </right>
      <top style="thin">
        <color indexed="22"/>
      </top>
      <bottom style="thin">
        <color indexed="22"/>
      </bottom>
      <diagonal/>
    </border>
    <border>
      <left style="thin">
        <color indexed="22"/>
      </left>
      <right style="double">
        <color rgb="FFC00000"/>
      </right>
      <top style="thin">
        <color indexed="22"/>
      </top>
      <bottom style="thin">
        <color indexed="22"/>
      </bottom>
      <diagonal/>
    </border>
    <border>
      <left/>
      <right style="double">
        <color rgb="FFC00000"/>
      </right>
      <top style="thin">
        <color indexed="22"/>
      </top>
      <bottom style="thin">
        <color indexed="22"/>
      </bottom>
      <diagonal/>
    </border>
    <border>
      <left style="double">
        <color rgb="FFC00000"/>
      </left>
      <right style="thin">
        <color indexed="22"/>
      </right>
      <top style="thin">
        <color indexed="22"/>
      </top>
      <bottom style="double">
        <color rgb="FFC00000"/>
      </bottom>
      <diagonal/>
    </border>
    <border>
      <left style="thin">
        <color indexed="22"/>
      </left>
      <right style="thin">
        <color indexed="22"/>
      </right>
      <top/>
      <bottom style="double">
        <color rgb="FFC00000"/>
      </bottom>
      <diagonal/>
    </border>
    <border>
      <left style="thin">
        <color indexed="22"/>
      </left>
      <right style="double">
        <color rgb="FFC00000"/>
      </right>
      <top style="thin">
        <color indexed="22"/>
      </top>
      <bottom style="double">
        <color rgb="FFC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theme="0"/>
      </right>
      <top style="thin">
        <color indexed="22"/>
      </top>
      <bottom style="thin">
        <color indexed="22"/>
      </bottom>
      <diagonal/>
    </border>
    <border>
      <left style="thin">
        <color theme="0"/>
      </left>
      <right style="thin">
        <color indexed="22"/>
      </right>
      <top style="thin">
        <color indexed="22"/>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style="thin">
        <color auto="1"/>
      </right>
      <top/>
      <bottom/>
      <diagonal/>
    </border>
    <border>
      <left/>
      <right/>
      <top/>
      <bottom style="thin">
        <color indexed="64"/>
      </bottom>
      <diagonal/>
    </border>
    <border>
      <left style="thin">
        <color indexed="22"/>
      </left>
      <right style="thin">
        <color indexed="64"/>
      </right>
      <top style="thin">
        <color indexed="22"/>
      </top>
      <bottom style="thin">
        <color indexed="22"/>
      </bottom>
      <diagonal/>
    </border>
    <border>
      <left/>
      <right style="thin">
        <color indexed="64"/>
      </right>
      <top/>
      <bottom style="thin">
        <color indexed="64"/>
      </bottom>
      <diagonal/>
    </border>
    <border>
      <left/>
      <right style="thin">
        <color theme="0" tint="-0.24994659260841701"/>
      </right>
      <top/>
      <bottom style="thin">
        <color theme="0" tint="-0.24994659260841701"/>
      </bottom>
      <diagonal/>
    </border>
    <border>
      <left style="thin">
        <color indexed="64"/>
      </left>
      <right/>
      <top/>
      <bottom style="thin">
        <color indexed="64"/>
      </bottom>
      <diagonal/>
    </border>
    <border>
      <left style="thin">
        <color indexed="22"/>
      </left>
      <right style="thin">
        <color indexed="22"/>
      </right>
      <top style="thin">
        <color indexed="22"/>
      </top>
      <bottom style="thin">
        <color theme="0"/>
      </bottom>
      <diagonal/>
    </border>
    <border>
      <left style="thin">
        <color indexed="22"/>
      </left>
      <right style="thin">
        <color indexed="22"/>
      </right>
      <top style="thin">
        <color theme="0"/>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rgb="FFC0C0C0"/>
      </left>
      <right/>
      <top/>
      <bottom style="thin">
        <color rgb="FFC0C0C0"/>
      </bottom>
      <diagonal/>
    </border>
    <border>
      <left/>
      <right style="thin">
        <color rgb="FFC0C0C0"/>
      </right>
      <top/>
      <bottom style="thin">
        <color rgb="FFC0C0C0"/>
      </bottom>
      <diagonal/>
    </border>
    <border>
      <left/>
      <right style="thin">
        <color rgb="FFC0C0C0"/>
      </right>
      <top style="thin">
        <color rgb="FFC0C0C0"/>
      </top>
      <bottom style="thin">
        <color rgb="FFC0C0C0"/>
      </bottom>
      <diagonal/>
    </border>
    <border>
      <left style="thin">
        <color indexed="64"/>
      </left>
      <right/>
      <top/>
      <bottom style="thin">
        <color auto="1"/>
      </bottom>
      <diagonal/>
    </border>
    <border>
      <left style="thin">
        <color indexed="22"/>
      </left>
      <right/>
      <top style="thin">
        <color theme="0"/>
      </top>
      <bottom style="thin">
        <color indexed="22"/>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theme="0"/>
      </left>
      <right/>
      <top style="thin">
        <color theme="0" tint="-0.24994659260841701"/>
      </top>
      <bottom/>
      <diagonal/>
    </border>
    <border>
      <left style="thin">
        <color indexed="64"/>
      </left>
      <right style="thin">
        <color indexed="22"/>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168" fontId="1" fillId="0" borderId="0" applyFont="0" applyFill="0" applyBorder="0" applyAlignment="0" applyProtection="0"/>
  </cellStyleXfs>
  <cellXfs count="1699">
    <xf numFmtId="0" fontId="0" fillId="0" borderId="0" xfId="0"/>
    <xf numFmtId="0" fontId="10" fillId="0" borderId="0" xfId="0" applyFont="1"/>
    <xf numFmtId="0" fontId="7" fillId="0" borderId="0" xfId="0" applyFont="1"/>
    <xf numFmtId="0" fontId="35" fillId="2" borderId="0" xfId="0" applyFont="1" applyFill="1"/>
    <xf numFmtId="0" fontId="4" fillId="0" borderId="0" xfId="1" applyAlignment="1" applyProtection="1"/>
    <xf numFmtId="0" fontId="6" fillId="2" borderId="0" xfId="0" applyFont="1" applyFill="1"/>
    <xf numFmtId="0" fontId="11" fillId="3" borderId="0" xfId="0" applyFont="1" applyFill="1" applyBorder="1" applyProtection="1"/>
    <xf numFmtId="0" fontId="12" fillId="3" borderId="0" xfId="0" applyFont="1" applyFill="1" applyBorder="1" applyProtection="1"/>
    <xf numFmtId="0" fontId="16" fillId="3" borderId="0" xfId="0" applyFont="1" applyFill="1" applyBorder="1" applyProtection="1"/>
    <xf numFmtId="0" fontId="11" fillId="3" borderId="0" xfId="0" applyFont="1" applyFill="1" applyBorder="1" applyAlignment="1" applyProtection="1">
      <alignment horizontal="left"/>
    </xf>
    <xf numFmtId="0" fontId="14" fillId="3" borderId="0" xfId="0" applyFont="1" applyFill="1" applyBorder="1" applyProtection="1"/>
    <xf numFmtId="0" fontId="15" fillId="3" borderId="0" xfId="0" applyFont="1" applyFill="1" applyBorder="1" applyProtection="1"/>
    <xf numFmtId="0" fontId="13" fillId="3" borderId="0" xfId="0" applyFont="1" applyFill="1" applyBorder="1" applyAlignment="1" applyProtection="1">
      <alignment horizontal="center"/>
    </xf>
    <xf numFmtId="0" fontId="26" fillId="3" borderId="0" xfId="0" applyFont="1" applyFill="1" applyBorder="1" applyProtection="1"/>
    <xf numFmtId="1" fontId="11" fillId="3" borderId="0" xfId="0" applyNumberFormat="1" applyFont="1" applyFill="1" applyBorder="1" applyProtection="1"/>
    <xf numFmtId="49" fontId="29" fillId="3" borderId="0" xfId="0" applyNumberFormat="1" applyFont="1" applyFill="1" applyBorder="1" applyAlignment="1" applyProtection="1">
      <alignment horizontal="right"/>
    </xf>
    <xf numFmtId="0" fontId="29" fillId="3" borderId="0" xfId="0" applyFont="1" applyFill="1" applyBorder="1" applyAlignment="1" applyProtection="1">
      <alignment horizontal="right"/>
    </xf>
    <xf numFmtId="0" fontId="11" fillId="3" borderId="0" xfId="0" applyFont="1" applyFill="1" applyAlignment="1" applyProtection="1">
      <alignment horizontal="left"/>
    </xf>
    <xf numFmtId="0" fontId="11" fillId="2" borderId="2" xfId="0" applyFont="1" applyFill="1" applyBorder="1" applyProtection="1"/>
    <xf numFmtId="0" fontId="11" fillId="2" borderId="3" xfId="0" applyFont="1" applyFill="1" applyBorder="1" applyProtection="1"/>
    <xf numFmtId="0" fontId="11" fillId="2" borderId="4" xfId="0" applyFont="1" applyFill="1" applyBorder="1" applyProtection="1"/>
    <xf numFmtId="0" fontId="11" fillId="2" borderId="5" xfId="0" applyFont="1" applyFill="1" applyBorder="1" applyProtection="1"/>
    <xf numFmtId="0" fontId="11" fillId="2" borderId="0" xfId="0" applyFont="1" applyFill="1" applyBorder="1" applyProtection="1"/>
    <xf numFmtId="0" fontId="12" fillId="2" borderId="0" xfId="0" applyFont="1" applyFill="1" applyBorder="1" applyProtection="1"/>
    <xf numFmtId="0" fontId="11" fillId="2" borderId="0" xfId="0" applyFont="1" applyFill="1" applyBorder="1" applyAlignment="1" applyProtection="1">
      <alignment horizontal="center"/>
    </xf>
    <xf numFmtId="0" fontId="11" fillId="2" borderId="6" xfId="0" applyFont="1" applyFill="1" applyBorder="1" applyProtection="1"/>
    <xf numFmtId="0" fontId="16" fillId="2" borderId="5" xfId="0" applyFont="1" applyFill="1" applyBorder="1" applyProtection="1"/>
    <xf numFmtId="0" fontId="16" fillId="2" borderId="0" xfId="0" applyFont="1" applyFill="1" applyBorder="1" applyProtection="1"/>
    <xf numFmtId="0" fontId="16" fillId="2" borderId="6" xfId="0" applyFont="1" applyFill="1" applyBorder="1" applyProtection="1"/>
    <xf numFmtId="0" fontId="13" fillId="2" borderId="5" xfId="0" applyFont="1" applyFill="1" applyBorder="1" applyProtection="1"/>
    <xf numFmtId="0" fontId="13" fillId="2" borderId="6" xfId="0" applyFont="1" applyFill="1" applyBorder="1" applyProtection="1"/>
    <xf numFmtId="0" fontId="11" fillId="3" borderId="8" xfId="0" applyFont="1" applyFill="1" applyBorder="1" applyProtection="1"/>
    <xf numFmtId="0" fontId="11" fillId="3" borderId="9" xfId="0" applyFont="1" applyFill="1" applyBorder="1" applyProtection="1"/>
    <xf numFmtId="0" fontId="11" fillId="3" borderId="10" xfId="0" applyFont="1" applyFill="1" applyBorder="1" applyProtection="1"/>
    <xf numFmtId="0" fontId="11" fillId="3" borderId="11" xfId="0" applyFont="1" applyFill="1" applyBorder="1" applyProtection="1"/>
    <xf numFmtId="0" fontId="11" fillId="3" borderId="1" xfId="0" applyFont="1" applyFill="1" applyBorder="1" applyProtection="1"/>
    <xf numFmtId="0" fontId="11" fillId="3" borderId="12" xfId="0" applyFont="1" applyFill="1" applyBorder="1" applyProtection="1"/>
    <xf numFmtId="0" fontId="12" fillId="3" borderId="1" xfId="0" applyFont="1" applyFill="1" applyBorder="1" applyProtection="1"/>
    <xf numFmtId="0" fontId="15" fillId="3" borderId="1" xfId="0" applyFont="1" applyFill="1" applyBorder="1" applyProtection="1"/>
    <xf numFmtId="0" fontId="11" fillId="3" borderId="13" xfId="0" applyFont="1" applyFill="1" applyBorder="1" applyProtection="1"/>
    <xf numFmtId="0" fontId="11" fillId="3" borderId="14" xfId="0" applyFont="1" applyFill="1" applyBorder="1" applyProtection="1"/>
    <xf numFmtId="0" fontId="11" fillId="3" borderId="14" xfId="0" applyFont="1" applyFill="1" applyBorder="1" applyAlignment="1" applyProtection="1">
      <alignment horizontal="center"/>
    </xf>
    <xf numFmtId="0" fontId="12" fillId="3" borderId="9" xfId="0" applyFont="1" applyFill="1" applyBorder="1" applyProtection="1"/>
    <xf numFmtId="0" fontId="11" fillId="2" borderId="1" xfId="0" applyFont="1" applyFill="1" applyBorder="1" applyAlignment="1" applyProtection="1">
      <alignment horizontal="center"/>
      <protection locked="0"/>
    </xf>
    <xf numFmtId="0" fontId="38" fillId="2" borderId="0" xfId="0" applyFont="1" applyFill="1" applyBorder="1" applyProtection="1"/>
    <xf numFmtId="49" fontId="39" fillId="2" borderId="0" xfId="0" applyNumberFormat="1" applyFont="1" applyFill="1" applyBorder="1" applyAlignment="1" applyProtection="1">
      <alignment horizontal="center"/>
    </xf>
    <xf numFmtId="0" fontId="41" fillId="4" borderId="1" xfId="0" applyFont="1" applyFill="1" applyBorder="1" applyAlignment="1" applyProtection="1">
      <alignment horizontal="center"/>
    </xf>
    <xf numFmtId="0" fontId="26" fillId="2" borderId="5" xfId="0" applyFont="1" applyFill="1" applyBorder="1" applyProtection="1"/>
    <xf numFmtId="0" fontId="26" fillId="2" borderId="0" xfId="0" applyFont="1" applyFill="1" applyBorder="1" applyProtection="1"/>
    <xf numFmtId="0" fontId="26" fillId="2" borderId="6" xfId="0" applyFont="1" applyFill="1" applyBorder="1" applyProtection="1"/>
    <xf numFmtId="0" fontId="6" fillId="3" borderId="1" xfId="0" applyFont="1" applyFill="1" applyBorder="1" applyAlignment="1" applyProtection="1">
      <alignment horizontal="left"/>
    </xf>
    <xf numFmtId="0" fontId="12" fillId="3" borderId="14" xfId="0" applyFont="1" applyFill="1" applyBorder="1" applyProtection="1"/>
    <xf numFmtId="0" fontId="38" fillId="2" borderId="0" xfId="0" applyFont="1" applyFill="1" applyBorder="1" applyAlignment="1" applyProtection="1">
      <alignment horizontal="center"/>
    </xf>
    <xf numFmtId="0" fontId="13" fillId="2" borderId="0" xfId="0" applyFont="1" applyFill="1" applyBorder="1" applyAlignment="1" applyProtection="1">
      <alignment horizontal="left"/>
    </xf>
    <xf numFmtId="0" fontId="13" fillId="2" borderId="0" xfId="0" applyFont="1" applyFill="1" applyBorder="1" applyAlignment="1" applyProtection="1">
      <alignment horizontal="center"/>
    </xf>
    <xf numFmtId="0" fontId="36" fillId="2" borderId="0" xfId="0" applyFont="1" applyFill="1" applyBorder="1" applyAlignment="1" applyProtection="1">
      <alignment horizontal="left"/>
    </xf>
    <xf numFmtId="0" fontId="15" fillId="2" borderId="0" xfId="0" applyFont="1" applyFill="1" applyBorder="1" applyProtection="1"/>
    <xf numFmtId="0" fontId="7" fillId="2" borderId="0" xfId="0" applyFont="1" applyFill="1" applyBorder="1" applyProtection="1"/>
    <xf numFmtId="0" fontId="14" fillId="2" borderId="0" xfId="0" applyFont="1" applyFill="1" applyBorder="1" applyProtection="1"/>
    <xf numFmtId="0" fontId="40" fillId="2" borderId="0" xfId="0" applyFont="1" applyFill="1" applyBorder="1" applyProtection="1"/>
    <xf numFmtId="0" fontId="38" fillId="2" borderId="0" xfId="0" applyFont="1" applyFill="1" applyBorder="1" applyAlignment="1" applyProtection="1"/>
    <xf numFmtId="0" fontId="39" fillId="2" borderId="0" xfId="0" applyFont="1" applyFill="1" applyBorder="1" applyAlignment="1" applyProtection="1">
      <alignment horizontal="center"/>
    </xf>
    <xf numFmtId="0" fontId="15" fillId="2" borderId="5" xfId="0" applyFont="1" applyFill="1" applyBorder="1" applyProtection="1"/>
    <xf numFmtId="0" fontId="15" fillId="2" borderId="6" xfId="0" applyFont="1" applyFill="1" applyBorder="1" applyProtection="1"/>
    <xf numFmtId="0" fontId="15" fillId="2" borderId="0" xfId="0" applyFont="1" applyFill="1" applyBorder="1" applyAlignment="1" applyProtection="1">
      <alignment horizontal="left"/>
    </xf>
    <xf numFmtId="0" fontId="12" fillId="3" borderId="8" xfId="0" applyFont="1" applyFill="1" applyBorder="1" applyProtection="1"/>
    <xf numFmtId="0" fontId="13" fillId="3" borderId="1" xfId="0" applyFont="1" applyFill="1" applyBorder="1" applyAlignment="1" applyProtection="1">
      <alignment horizontal="center"/>
    </xf>
    <xf numFmtId="164" fontId="6" fillId="2" borderId="1" xfId="0" applyNumberFormat="1" applyFont="1" applyFill="1" applyBorder="1" applyAlignment="1" applyProtection="1">
      <alignment horizontal="center"/>
      <protection locked="0"/>
    </xf>
    <xf numFmtId="164" fontId="6" fillId="5" borderId="1" xfId="0" applyNumberFormat="1" applyFont="1" applyFill="1" applyBorder="1" applyAlignment="1" applyProtection="1">
      <alignment horizontal="center"/>
    </xf>
    <xf numFmtId="0" fontId="6" fillId="3" borderId="14" xfId="0" applyFont="1" applyFill="1" applyBorder="1" applyAlignment="1" applyProtection="1">
      <alignment horizontal="center"/>
    </xf>
    <xf numFmtId="0" fontId="6" fillId="2" borderId="0" xfId="0" applyFont="1" applyFill="1" applyBorder="1" applyAlignment="1" applyProtection="1">
      <alignment horizontal="center"/>
    </xf>
    <xf numFmtId="0" fontId="6" fillId="3" borderId="1" xfId="0" applyFont="1" applyFill="1" applyBorder="1" applyAlignment="1" applyProtection="1">
      <alignment horizontal="center"/>
    </xf>
    <xf numFmtId="0" fontId="6" fillId="2" borderId="2" xfId="0" applyFont="1" applyFill="1" applyBorder="1" applyProtection="1"/>
    <xf numFmtId="0" fontId="6" fillId="2" borderId="3" xfId="0" applyFont="1" applyFill="1" applyBorder="1" applyProtection="1"/>
    <xf numFmtId="0" fontId="6" fillId="2" borderId="3" xfId="0" applyFont="1" applyFill="1" applyBorder="1" applyAlignment="1" applyProtection="1">
      <alignment horizontal="center"/>
    </xf>
    <xf numFmtId="0" fontId="6" fillId="2" borderId="4" xfId="0" applyFont="1" applyFill="1" applyBorder="1" applyProtection="1"/>
    <xf numFmtId="0" fontId="6" fillId="2" borderId="5" xfId="0" applyFont="1" applyFill="1" applyBorder="1" applyProtection="1"/>
    <xf numFmtId="0" fontId="6" fillId="2" borderId="0" xfId="0" applyFont="1" applyFill="1" applyBorder="1" applyProtection="1"/>
    <xf numFmtId="0" fontId="6" fillId="2" borderId="6" xfId="0" applyFont="1" applyFill="1" applyBorder="1" applyProtection="1"/>
    <xf numFmtId="0" fontId="6" fillId="3" borderId="9" xfId="0" applyFont="1" applyFill="1" applyBorder="1" applyAlignment="1" applyProtection="1">
      <alignment horizontal="center"/>
    </xf>
    <xf numFmtId="0" fontId="7" fillId="2" borderId="5" xfId="0" applyFont="1" applyFill="1" applyBorder="1" applyProtection="1"/>
    <xf numFmtId="0" fontId="6" fillId="3" borderId="13" xfId="0" applyFont="1" applyFill="1" applyBorder="1" applyProtection="1"/>
    <xf numFmtId="0" fontId="6" fillId="3" borderId="14" xfId="0" applyFont="1" applyFill="1" applyBorder="1" applyProtection="1"/>
    <xf numFmtId="0" fontId="6" fillId="2" borderId="7" xfId="0" applyFont="1" applyFill="1" applyBorder="1" applyProtection="1"/>
    <xf numFmtId="0" fontId="6" fillId="2" borderId="7" xfId="0" applyFont="1" applyFill="1" applyBorder="1" applyAlignment="1" applyProtection="1">
      <alignment horizontal="center"/>
    </xf>
    <xf numFmtId="0" fontId="6" fillId="2" borderId="16" xfId="0" applyFont="1" applyFill="1" applyBorder="1" applyProtection="1"/>
    <xf numFmtId="0" fontId="6" fillId="2" borderId="17" xfId="0" applyFont="1" applyFill="1" applyBorder="1" applyProtection="1"/>
    <xf numFmtId="0" fontId="14" fillId="2" borderId="0" xfId="0" applyFont="1" applyFill="1" applyBorder="1" applyAlignment="1" applyProtection="1">
      <alignment horizontal="center"/>
    </xf>
    <xf numFmtId="0" fontId="14" fillId="2" borderId="0" xfId="0" applyFont="1" applyFill="1" applyBorder="1" applyAlignment="1" applyProtection="1">
      <alignment horizontal="left"/>
    </xf>
    <xf numFmtId="0" fontId="14" fillId="2" borderId="6" xfId="0" applyFont="1" applyFill="1" applyBorder="1" applyProtection="1"/>
    <xf numFmtId="0" fontId="6" fillId="3" borderId="10" xfId="0" applyFont="1" applyFill="1" applyBorder="1" applyAlignment="1" applyProtection="1">
      <alignment horizontal="center"/>
    </xf>
    <xf numFmtId="0" fontId="7" fillId="2" borderId="6" xfId="0" applyFont="1" applyFill="1" applyBorder="1" applyProtection="1"/>
    <xf numFmtId="0" fontId="6" fillId="3" borderId="12" xfId="0" applyFont="1" applyFill="1" applyBorder="1" applyAlignment="1" applyProtection="1">
      <alignment horizontal="center"/>
    </xf>
    <xf numFmtId="0" fontId="13" fillId="3" borderId="1" xfId="0" applyFont="1" applyFill="1" applyBorder="1" applyAlignment="1" applyProtection="1">
      <alignment horizontal="left"/>
    </xf>
    <xf numFmtId="0" fontId="37" fillId="2" borderId="0" xfId="0" applyFont="1" applyFill="1" applyBorder="1" applyAlignment="1" applyProtection="1">
      <alignment horizontal="center"/>
    </xf>
    <xf numFmtId="0" fontId="37" fillId="2" borderId="0" xfId="0" applyFont="1" applyFill="1" applyBorder="1" applyAlignment="1" applyProtection="1">
      <alignment horizontal="left"/>
    </xf>
    <xf numFmtId="0" fontId="11" fillId="2" borderId="1" xfId="0" applyFont="1" applyFill="1" applyBorder="1" applyAlignment="1" applyProtection="1">
      <alignment horizontal="left"/>
      <protection locked="0"/>
    </xf>
    <xf numFmtId="0" fontId="6" fillId="0" borderId="0" xfId="0" applyFont="1"/>
    <xf numFmtId="0" fontId="6" fillId="2" borderId="0" xfId="0" applyFont="1" applyFill="1" applyAlignment="1"/>
    <xf numFmtId="0" fontId="13" fillId="0" borderId="0" xfId="0" applyFont="1"/>
    <xf numFmtId="0" fontId="10" fillId="2" borderId="0" xfId="0" applyFont="1" applyFill="1" applyBorder="1" applyProtection="1"/>
    <xf numFmtId="0" fontId="49" fillId="3" borderId="1" xfId="0" applyFont="1" applyFill="1" applyBorder="1" applyProtection="1"/>
    <xf numFmtId="0" fontId="50" fillId="2" borderId="0" xfId="0" applyFont="1" applyFill="1" applyBorder="1" applyProtection="1"/>
    <xf numFmtId="0" fontId="11" fillId="2" borderId="1" xfId="0" applyNumberFormat="1" applyFont="1" applyFill="1" applyBorder="1" applyAlignment="1" applyProtection="1">
      <alignment horizontal="center"/>
      <protection locked="0"/>
    </xf>
    <xf numFmtId="169" fontId="11" fillId="2" borderId="1" xfId="0" applyNumberFormat="1" applyFont="1" applyFill="1" applyBorder="1" applyAlignment="1" applyProtection="1">
      <alignment horizontal="center"/>
      <protection locked="0"/>
    </xf>
    <xf numFmtId="173" fontId="11" fillId="2" borderId="1" xfId="0" applyNumberFormat="1" applyFont="1" applyFill="1" applyBorder="1" applyAlignment="1" applyProtection="1">
      <alignment horizontal="center"/>
      <protection locked="0"/>
    </xf>
    <xf numFmtId="165" fontId="11" fillId="5" borderId="1" xfId="0" applyNumberFormat="1" applyFont="1" applyFill="1" applyBorder="1" applyAlignment="1" applyProtection="1">
      <alignment horizontal="center"/>
    </xf>
    <xf numFmtId="165" fontId="51" fillId="4" borderId="1" xfId="0" applyNumberFormat="1" applyFont="1" applyFill="1" applyBorder="1" applyAlignment="1" applyProtection="1">
      <alignment horizontal="center"/>
    </xf>
    <xf numFmtId="164" fontId="52" fillId="4" borderId="1" xfId="0" applyNumberFormat="1" applyFont="1" applyFill="1" applyBorder="1" applyAlignment="1" applyProtection="1">
      <alignment horizontal="center"/>
    </xf>
    <xf numFmtId="0" fontId="54" fillId="2"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left"/>
    </xf>
    <xf numFmtId="0" fontId="6" fillId="3" borderId="0" xfId="0" applyFont="1" applyFill="1" applyBorder="1" applyAlignment="1" applyProtection="1"/>
    <xf numFmtId="0" fontId="6" fillId="3" borderId="0" xfId="0" applyFont="1" applyFill="1" applyBorder="1" applyAlignment="1" applyProtection="1">
      <alignment horizontal="center"/>
    </xf>
    <xf numFmtId="0" fontId="7" fillId="3" borderId="0" xfId="0" applyFont="1" applyFill="1" applyBorder="1" applyProtection="1"/>
    <xf numFmtId="0" fontId="7" fillId="3" borderId="0" xfId="0" applyFont="1" applyFill="1" applyBorder="1" applyAlignment="1" applyProtection="1">
      <alignment horizontal="left"/>
    </xf>
    <xf numFmtId="0" fontId="7" fillId="3" borderId="0" xfId="0" applyFont="1" applyFill="1" applyBorder="1" applyAlignment="1" applyProtection="1"/>
    <xf numFmtId="0" fontId="7" fillId="3" borderId="0" xfId="0" applyFont="1" applyFill="1" applyBorder="1" applyAlignment="1" applyProtection="1">
      <alignment horizontal="center"/>
    </xf>
    <xf numFmtId="0" fontId="13" fillId="3" borderId="0" xfId="0" applyFont="1" applyFill="1" applyBorder="1" applyProtection="1"/>
    <xf numFmtId="0" fontId="6" fillId="0" borderId="1" xfId="0" applyFont="1" applyFill="1" applyBorder="1" applyAlignment="1" applyProtection="1">
      <alignment horizontal="center"/>
      <protection locked="0"/>
    </xf>
    <xf numFmtId="164" fontId="6" fillId="0" borderId="1" xfId="0" applyNumberFormat="1" applyFont="1" applyFill="1" applyBorder="1" applyAlignment="1" applyProtection="1">
      <protection locked="0"/>
    </xf>
    <xf numFmtId="0" fontId="6" fillId="2" borderId="0" xfId="0" applyFont="1" applyFill="1" applyBorder="1" applyAlignment="1" applyProtection="1">
      <alignment horizontal="left"/>
    </xf>
    <xf numFmtId="0" fontId="6" fillId="2" borderId="0" xfId="0" applyFont="1" applyFill="1" applyBorder="1" applyAlignment="1" applyProtection="1"/>
    <xf numFmtId="0" fontId="14" fillId="2" borderId="0" xfId="0" applyFont="1" applyFill="1" applyBorder="1" applyAlignment="1" applyProtection="1"/>
    <xf numFmtId="0" fontId="7" fillId="2" borderId="0" xfId="0" applyFont="1" applyFill="1" applyBorder="1" applyAlignment="1" applyProtection="1">
      <alignment horizontal="left"/>
    </xf>
    <xf numFmtId="0" fontId="7" fillId="2" borderId="0" xfId="0" applyFont="1" applyFill="1" applyBorder="1" applyAlignment="1" applyProtection="1"/>
    <xf numFmtId="0" fontId="7" fillId="2" borderId="0" xfId="0" applyFont="1" applyFill="1" applyBorder="1" applyAlignment="1" applyProtection="1">
      <alignment horizontal="center"/>
    </xf>
    <xf numFmtId="0" fontId="6" fillId="2" borderId="3" xfId="0" applyFont="1" applyFill="1" applyBorder="1" applyAlignment="1" applyProtection="1">
      <alignment horizontal="left"/>
    </xf>
    <xf numFmtId="0" fontId="6" fillId="2" borderId="3" xfId="0" applyFont="1" applyFill="1" applyBorder="1" applyAlignment="1" applyProtection="1"/>
    <xf numFmtId="0" fontId="7" fillId="2" borderId="3" xfId="0" applyFont="1" applyFill="1" applyBorder="1" applyProtection="1"/>
    <xf numFmtId="0" fontId="14" fillId="2" borderId="5" xfId="0" applyFont="1" applyFill="1" applyBorder="1" applyProtection="1"/>
    <xf numFmtId="0" fontId="13" fillId="2" borderId="5" xfId="0" applyFont="1" applyFill="1" applyBorder="1" applyAlignment="1" applyProtection="1">
      <alignment horizontal="center"/>
    </xf>
    <xf numFmtId="0" fontId="13" fillId="2" borderId="6"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7" xfId="0" applyFont="1" applyFill="1" applyBorder="1" applyAlignment="1" applyProtection="1">
      <alignment horizontal="left"/>
    </xf>
    <xf numFmtId="0" fontId="6" fillId="2" borderId="7" xfId="0" applyFont="1" applyFill="1" applyBorder="1" applyAlignment="1" applyProtection="1"/>
    <xf numFmtId="0" fontId="55" fillId="2" borderId="0" xfId="0" applyFont="1" applyFill="1" applyBorder="1" applyAlignment="1" applyProtection="1">
      <alignment horizontal="left"/>
    </xf>
    <xf numFmtId="0" fontId="55" fillId="2" borderId="0" xfId="0" applyFont="1" applyFill="1" applyBorder="1" applyAlignment="1" applyProtection="1"/>
    <xf numFmtId="0" fontId="53" fillId="2" borderId="0" xfId="0" applyFont="1" applyFill="1" applyBorder="1" applyAlignment="1" applyProtection="1">
      <alignment horizontal="center"/>
    </xf>
    <xf numFmtId="0" fontId="53" fillId="2" borderId="0" xfId="0" applyFont="1" applyFill="1" applyBorder="1" applyProtection="1"/>
    <xf numFmtId="0" fontId="54" fillId="2" borderId="0" xfId="0" applyFont="1" applyFill="1" applyBorder="1" applyAlignment="1" applyProtection="1">
      <alignment horizontal="left"/>
    </xf>
    <xf numFmtId="0" fontId="54" fillId="2" borderId="0" xfId="0" applyFont="1" applyFill="1" applyBorder="1" applyAlignment="1" applyProtection="1"/>
    <xf numFmtId="0" fontId="54" fillId="2" borderId="0" xfId="0" applyFont="1" applyFill="1" applyBorder="1" applyAlignment="1" applyProtection="1">
      <alignment horizontal="center"/>
    </xf>
    <xf numFmtId="0" fontId="55" fillId="2" borderId="0" xfId="0" applyFont="1" applyFill="1" applyBorder="1" applyAlignment="1" applyProtection="1">
      <alignment horizontal="center"/>
    </xf>
    <xf numFmtId="0" fontId="53" fillId="2" borderId="0" xfId="0" applyFont="1" applyFill="1" applyBorder="1" applyAlignment="1" applyProtection="1">
      <alignment horizontal="left"/>
    </xf>
    <xf numFmtId="0" fontId="53" fillId="2" borderId="0" xfId="0" applyFont="1" applyFill="1" applyBorder="1" applyAlignment="1" applyProtection="1"/>
    <xf numFmtId="0" fontId="6" fillId="3" borderId="8" xfId="0" applyFont="1" applyFill="1" applyBorder="1" applyAlignment="1" applyProtection="1">
      <alignment horizontal="center"/>
    </xf>
    <xf numFmtId="0" fontId="6" fillId="3" borderId="9" xfId="0" applyFont="1" applyFill="1" applyBorder="1" applyAlignment="1" applyProtection="1">
      <alignment horizontal="left"/>
    </xf>
    <xf numFmtId="0" fontId="6" fillId="3" borderId="9" xfId="0" applyFont="1" applyFill="1" applyBorder="1" applyAlignment="1" applyProtection="1"/>
    <xf numFmtId="0" fontId="6" fillId="3" borderId="11" xfId="0" applyFont="1" applyFill="1" applyBorder="1" applyAlignment="1" applyProtection="1">
      <alignment horizontal="center"/>
    </xf>
    <xf numFmtId="0" fontId="6" fillId="2" borderId="1" xfId="0" applyFont="1" applyFill="1" applyBorder="1" applyAlignment="1" applyProtection="1">
      <alignment horizontal="left"/>
      <protection locked="0"/>
    </xf>
    <xf numFmtId="0" fontId="6" fillId="2" borderId="1" xfId="0" applyFont="1" applyFill="1" applyBorder="1" applyAlignment="1" applyProtection="1">
      <alignment horizontal="center"/>
      <protection locked="0"/>
    </xf>
    <xf numFmtId="164" fontId="6" fillId="2" borderId="1" xfId="0" applyNumberFormat="1" applyFont="1" applyFill="1" applyBorder="1" applyAlignment="1" applyProtection="1">
      <protection locked="0"/>
    </xf>
    <xf numFmtId="0" fontId="37" fillId="2" borderId="0" xfId="0" applyFont="1" applyFill="1" applyBorder="1" applyProtection="1"/>
    <xf numFmtId="0" fontId="39" fillId="2" borderId="0" xfId="0" applyFont="1" applyFill="1" applyBorder="1" applyAlignment="1" applyProtection="1">
      <alignment horizontal="left"/>
    </xf>
    <xf numFmtId="0" fontId="39" fillId="2" borderId="0" xfId="0" applyFont="1" applyFill="1" applyBorder="1" applyAlignment="1" applyProtection="1"/>
    <xf numFmtId="0" fontId="40" fillId="2" borderId="0" xfId="0" applyFont="1" applyFill="1" applyBorder="1" applyAlignment="1" applyProtection="1">
      <alignment horizontal="left"/>
    </xf>
    <xf numFmtId="0" fontId="37" fillId="2" borderId="0" xfId="0" applyFont="1" applyFill="1" applyBorder="1" applyAlignment="1" applyProtection="1"/>
    <xf numFmtId="0" fontId="38" fillId="2" borderId="0" xfId="0" applyFont="1" applyFill="1" applyBorder="1" applyAlignment="1" applyProtection="1">
      <alignment horizontal="left"/>
    </xf>
    <xf numFmtId="16" fontId="37" fillId="2" borderId="0" xfId="0" applyNumberFormat="1" applyFont="1" applyFill="1" applyBorder="1" applyAlignment="1" applyProtection="1">
      <alignment horizontal="center"/>
    </xf>
    <xf numFmtId="0" fontId="11" fillId="2" borderId="0" xfId="0" applyFont="1" applyFill="1" applyBorder="1" applyAlignment="1" applyProtection="1"/>
    <xf numFmtId="0" fontId="11" fillId="2" borderId="3" xfId="0" applyFont="1" applyFill="1" applyBorder="1" applyAlignment="1" applyProtection="1"/>
    <xf numFmtId="0" fontId="11" fillId="2" borderId="7" xfId="0" applyFont="1" applyFill="1" applyBorder="1" applyProtection="1"/>
    <xf numFmtId="0" fontId="11" fillId="2" borderId="7" xfId="0" applyFont="1" applyFill="1" applyBorder="1" applyAlignment="1" applyProtection="1"/>
    <xf numFmtId="0" fontId="11" fillId="3" borderId="0" xfId="0" applyFont="1" applyFill="1" applyProtection="1"/>
    <xf numFmtId="0" fontId="11" fillId="3" borderId="0" xfId="0" applyFont="1" applyFill="1" applyBorder="1" applyAlignment="1" applyProtection="1">
      <alignment horizontal="center"/>
    </xf>
    <xf numFmtId="0" fontId="63" fillId="3" borderId="0" xfId="0" applyFont="1" applyFill="1" applyBorder="1" applyProtection="1"/>
    <xf numFmtId="0" fontId="70" fillId="3" borderId="0" xfId="0" applyFont="1" applyFill="1" applyProtection="1"/>
    <xf numFmtId="0" fontId="16" fillId="3" borderId="0" xfId="0" applyFont="1" applyFill="1" applyProtection="1"/>
    <xf numFmtId="0" fontId="58" fillId="3" borderId="0" xfId="0" applyFont="1" applyFill="1" applyProtection="1"/>
    <xf numFmtId="0" fontId="13" fillId="3" borderId="0" xfId="0" applyFont="1" applyFill="1" applyProtection="1"/>
    <xf numFmtId="0" fontId="12" fillId="3" borderId="0" xfId="0" applyFont="1" applyFill="1" applyProtection="1"/>
    <xf numFmtId="0" fontId="11" fillId="3" borderId="0" xfId="0" applyFont="1" applyFill="1" applyAlignment="1" applyProtection="1">
      <alignment horizontal="center"/>
    </xf>
    <xf numFmtId="0" fontId="11" fillId="2" borderId="3" xfId="0" applyFont="1" applyFill="1" applyBorder="1" applyAlignment="1" applyProtection="1">
      <alignment horizontal="center"/>
    </xf>
    <xf numFmtId="0" fontId="70" fillId="2" borderId="5" xfId="0" applyFont="1" applyFill="1" applyBorder="1" applyProtection="1"/>
    <xf numFmtId="0" fontId="63" fillId="2" borderId="0" xfId="0" applyFont="1" applyFill="1" applyBorder="1" applyProtection="1"/>
    <xf numFmtId="0" fontId="70" fillId="2" borderId="0" xfId="0" applyFont="1" applyFill="1" applyBorder="1" applyProtection="1"/>
    <xf numFmtId="0" fontId="70" fillId="2" borderId="0" xfId="0" applyFont="1" applyFill="1" applyBorder="1" applyAlignment="1" applyProtection="1">
      <alignment horizontal="center"/>
    </xf>
    <xf numFmtId="0" fontId="70" fillId="2" borderId="6" xfId="0" applyFont="1" applyFill="1" applyBorder="1" applyProtection="1"/>
    <xf numFmtId="0" fontId="16" fillId="2" borderId="0" xfId="0" applyFont="1" applyFill="1" applyBorder="1" applyAlignment="1" applyProtection="1">
      <alignment horizontal="center"/>
    </xf>
    <xf numFmtId="0" fontId="42" fillId="2" borderId="0" xfId="0" applyFont="1" applyFill="1" applyBorder="1" applyProtection="1"/>
    <xf numFmtId="0" fontId="42" fillId="2" borderId="0" xfId="0" applyFont="1" applyFill="1" applyBorder="1" applyAlignment="1" applyProtection="1">
      <alignment horizontal="center"/>
    </xf>
    <xf numFmtId="0" fontId="11" fillId="2" borderId="17" xfId="0" applyFont="1" applyFill="1" applyBorder="1" applyProtection="1"/>
    <xf numFmtId="0" fontId="11" fillId="2" borderId="7" xfId="0" applyFont="1" applyFill="1" applyBorder="1" applyAlignment="1" applyProtection="1">
      <alignment horizontal="center"/>
    </xf>
    <xf numFmtId="0" fontId="11" fillId="2" borderId="16" xfId="0" applyFont="1" applyFill="1" applyBorder="1" applyProtection="1"/>
    <xf numFmtId="0" fontId="11" fillId="3" borderId="1" xfId="0" applyFont="1" applyFill="1" applyBorder="1" applyAlignment="1" applyProtection="1">
      <alignment horizontal="center"/>
    </xf>
    <xf numFmtId="0" fontId="11" fillId="3" borderId="1" xfId="0" applyFont="1" applyFill="1" applyBorder="1" applyAlignment="1" applyProtection="1">
      <alignment horizontal="left"/>
    </xf>
    <xf numFmtId="49" fontId="11" fillId="3" borderId="1" xfId="0" applyNumberFormat="1" applyFont="1" applyFill="1" applyBorder="1" applyAlignment="1" applyProtection="1">
      <alignment horizontal="center"/>
    </xf>
    <xf numFmtId="0" fontId="40" fillId="3" borderId="1" xfId="0" applyFont="1" applyFill="1" applyBorder="1" applyProtection="1"/>
    <xf numFmtId="0" fontId="13" fillId="3" borderId="1" xfId="0" applyFont="1" applyFill="1" applyBorder="1" applyProtection="1"/>
    <xf numFmtId="0" fontId="6" fillId="3" borderId="1" xfId="0" applyFont="1" applyFill="1" applyBorder="1" applyProtection="1"/>
    <xf numFmtId="0" fontId="12" fillId="3" borderId="1" xfId="0" applyFont="1" applyFill="1" applyBorder="1" applyAlignment="1" applyProtection="1">
      <alignment horizontal="center"/>
    </xf>
    <xf numFmtId="174" fontId="11" fillId="3" borderId="1" xfId="0" applyNumberFormat="1" applyFont="1" applyFill="1" applyBorder="1" applyAlignment="1" applyProtection="1">
      <alignment horizontal="center"/>
    </xf>
    <xf numFmtId="0" fontId="6" fillId="3" borderId="0" xfId="0" applyFont="1" applyFill="1" applyProtection="1"/>
    <xf numFmtId="0" fontId="59" fillId="3" borderId="0" xfId="0" applyFont="1" applyFill="1" applyBorder="1" applyProtection="1"/>
    <xf numFmtId="0" fontId="7" fillId="3" borderId="0" xfId="0" applyFont="1" applyFill="1" applyProtection="1"/>
    <xf numFmtId="0" fontId="7" fillId="3" borderId="0" xfId="0" applyFont="1" applyFill="1" applyAlignment="1" applyProtection="1">
      <alignment horizontal="center"/>
    </xf>
    <xf numFmtId="0" fontId="6" fillId="3" borderId="0" xfId="0" applyFont="1" applyFill="1" applyAlignment="1" applyProtection="1">
      <alignment horizontal="center"/>
    </xf>
    <xf numFmtId="0" fontId="7" fillId="3" borderId="1" xfId="0" applyFont="1" applyFill="1" applyBorder="1" applyProtection="1"/>
    <xf numFmtId="49" fontId="6" fillId="3" borderId="1" xfId="0" applyNumberFormat="1" applyFont="1" applyFill="1" applyBorder="1" applyAlignment="1" applyProtection="1">
      <alignment horizontal="center"/>
    </xf>
    <xf numFmtId="0" fontId="7" fillId="3" borderId="1" xfId="0" applyFont="1" applyFill="1" applyBorder="1" applyAlignment="1" applyProtection="1">
      <alignment horizontal="center"/>
    </xf>
    <xf numFmtId="174" fontId="6" fillId="3" borderId="1" xfId="0" applyNumberFormat="1" applyFont="1" applyFill="1" applyBorder="1" applyAlignment="1" applyProtection="1">
      <alignment horizontal="center"/>
    </xf>
    <xf numFmtId="0" fontId="60" fillId="2" borderId="0" xfId="0" applyFont="1" applyFill="1" applyBorder="1" applyAlignment="1" applyProtection="1">
      <alignment horizontal="right"/>
    </xf>
    <xf numFmtId="0" fontId="59" fillId="2" borderId="0" xfId="0" applyFont="1" applyFill="1" applyBorder="1" applyProtection="1"/>
    <xf numFmtId="0" fontId="42" fillId="2" borderId="7" xfId="0" applyFont="1" applyFill="1" applyBorder="1" applyProtection="1"/>
    <xf numFmtId="0" fontId="42" fillId="2" borderId="7" xfId="0" applyFont="1" applyFill="1" applyBorder="1" applyAlignment="1" applyProtection="1">
      <alignment horizontal="center"/>
    </xf>
    <xf numFmtId="0" fontId="42" fillId="2" borderId="3" xfId="0" applyFont="1" applyFill="1" applyBorder="1" applyProtection="1"/>
    <xf numFmtId="0" fontId="42" fillId="2" borderId="3" xfId="0" applyFont="1" applyFill="1" applyBorder="1" applyAlignment="1" applyProtection="1">
      <alignment horizontal="center"/>
    </xf>
    <xf numFmtId="0" fontId="62" fillId="3" borderId="1" xfId="0" applyFont="1" applyFill="1" applyBorder="1" applyProtection="1"/>
    <xf numFmtId="0" fontId="40" fillId="3" borderId="1" xfId="0" applyFont="1" applyFill="1" applyBorder="1" applyAlignment="1" applyProtection="1">
      <alignment horizontal="center"/>
    </xf>
    <xf numFmtId="0" fontId="15" fillId="3" borderId="1" xfId="0" applyFont="1" applyFill="1" applyBorder="1" applyAlignment="1" applyProtection="1">
      <alignment horizontal="center"/>
    </xf>
    <xf numFmtId="0" fontId="25" fillId="3" borderId="0" xfId="0" applyFont="1" applyFill="1" applyBorder="1" applyProtection="1"/>
    <xf numFmtId="0" fontId="25" fillId="3" borderId="0" xfId="0" applyFont="1" applyFill="1" applyProtection="1"/>
    <xf numFmtId="0" fontId="46" fillId="3" borderId="0" xfId="0" applyFont="1" applyFill="1" applyBorder="1" applyProtection="1"/>
    <xf numFmtId="0" fontId="25" fillId="2" borderId="5" xfId="0" applyFont="1" applyFill="1" applyBorder="1" applyProtection="1"/>
    <xf numFmtId="0" fontId="25" fillId="2" borderId="0" xfId="0" applyFont="1" applyFill="1" applyBorder="1" applyProtection="1"/>
    <xf numFmtId="0" fontId="25" fillId="2" borderId="6" xfId="0" applyFont="1" applyFill="1" applyBorder="1" applyProtection="1"/>
    <xf numFmtId="0" fontId="43" fillId="2" borderId="0" xfId="0" applyFont="1" applyFill="1" applyBorder="1" applyProtection="1"/>
    <xf numFmtId="0" fontId="43" fillId="2" borderId="7" xfId="0" applyFont="1" applyFill="1" applyBorder="1" applyProtection="1"/>
    <xf numFmtId="0" fontId="43" fillId="2" borderId="3" xfId="0" applyFont="1" applyFill="1" applyBorder="1" applyProtection="1"/>
    <xf numFmtId="164" fontId="6" fillId="3" borderId="1" xfId="0" applyNumberFormat="1" applyFont="1" applyFill="1" applyBorder="1" applyProtection="1"/>
    <xf numFmtId="164" fontId="6" fillId="3" borderId="1" xfId="0" applyNumberFormat="1" applyFont="1" applyFill="1" applyBorder="1" applyAlignment="1" applyProtection="1">
      <alignment horizontal="center"/>
    </xf>
    <xf numFmtId="0" fontId="59" fillId="2" borderId="0" xfId="0" applyFont="1" applyFill="1" applyBorder="1" applyAlignment="1" applyProtection="1">
      <alignment horizontal="center"/>
    </xf>
    <xf numFmtId="174" fontId="11" fillId="3" borderId="0" xfId="0" applyNumberFormat="1" applyFont="1" applyFill="1" applyBorder="1" applyAlignment="1" applyProtection="1">
      <alignment horizontal="center"/>
    </xf>
    <xf numFmtId="0" fontId="11" fillId="3" borderId="0" xfId="0" applyNumberFormat="1" applyFont="1" applyFill="1" applyBorder="1" applyAlignment="1" applyProtection="1">
      <alignment horizontal="center"/>
    </xf>
    <xf numFmtId="169" fontId="11" fillId="3" borderId="0" xfId="0" applyNumberFormat="1" applyFont="1" applyFill="1" applyBorder="1" applyAlignment="1" applyProtection="1">
      <alignment horizontal="center"/>
    </xf>
    <xf numFmtId="169" fontId="11" fillId="3" borderId="0" xfId="0" applyNumberFormat="1" applyFont="1" applyFill="1" applyBorder="1" applyProtection="1"/>
    <xf numFmtId="0" fontId="11" fillId="3" borderId="0" xfId="0" applyNumberFormat="1" applyFont="1" applyFill="1" applyBorder="1" applyAlignment="1" applyProtection="1"/>
    <xf numFmtId="170" fontId="6" fillId="3" borderId="0" xfId="0" applyNumberFormat="1" applyFont="1" applyFill="1" applyBorder="1" applyProtection="1"/>
    <xf numFmtId="2" fontId="11" fillId="3" borderId="0" xfId="0" applyNumberFormat="1" applyFont="1" applyFill="1" applyBorder="1" applyProtection="1"/>
    <xf numFmtId="164" fontId="15" fillId="3" borderId="0" xfId="0" applyNumberFormat="1" applyFont="1" applyFill="1" applyBorder="1" applyProtection="1"/>
    <xf numFmtId="171" fontId="11" fillId="3" borderId="0" xfId="0" applyNumberFormat="1" applyFont="1" applyFill="1" applyBorder="1" applyProtection="1"/>
    <xf numFmtId="0" fontId="72" fillId="3" borderId="0" xfId="0" applyFont="1" applyFill="1" applyBorder="1" applyProtection="1"/>
    <xf numFmtId="0" fontId="72" fillId="3" borderId="0" xfId="0" applyNumberFormat="1" applyFont="1" applyFill="1" applyBorder="1" applyAlignment="1" applyProtection="1">
      <alignment horizontal="center"/>
    </xf>
    <xf numFmtId="169" fontId="72" fillId="3" borderId="0" xfId="0" applyNumberFormat="1" applyFont="1" applyFill="1" applyBorder="1" applyAlignment="1" applyProtection="1">
      <alignment horizontal="center"/>
    </xf>
    <xf numFmtId="169" fontId="72" fillId="3" borderId="0" xfId="0" applyNumberFormat="1" applyFont="1" applyFill="1" applyBorder="1" applyProtection="1"/>
    <xf numFmtId="164" fontId="72" fillId="3" borderId="0" xfId="0" applyNumberFormat="1" applyFont="1" applyFill="1" applyBorder="1" applyProtection="1"/>
    <xf numFmtId="0" fontId="72" fillId="3" borderId="0" xfId="0" applyNumberFormat="1" applyFont="1" applyFill="1" applyBorder="1" applyProtection="1"/>
    <xf numFmtId="1" fontId="72" fillId="3" borderId="0" xfId="0" applyNumberFormat="1" applyFont="1" applyFill="1" applyBorder="1" applyProtection="1"/>
    <xf numFmtId="0" fontId="28" fillId="3" borderId="0" xfId="0" applyFont="1" applyFill="1" applyBorder="1" applyProtection="1"/>
    <xf numFmtId="0" fontId="28" fillId="3" borderId="0" xfId="0" applyNumberFormat="1" applyFont="1" applyFill="1" applyBorder="1" applyAlignment="1" applyProtection="1">
      <alignment horizontal="center"/>
    </xf>
    <xf numFmtId="169" fontId="28" fillId="3" borderId="0" xfId="0" applyNumberFormat="1" applyFont="1" applyFill="1" applyBorder="1" applyAlignment="1" applyProtection="1">
      <alignment horizontal="center"/>
    </xf>
    <xf numFmtId="169" fontId="28" fillId="3" borderId="0" xfId="0" applyNumberFormat="1" applyFont="1" applyFill="1" applyBorder="1" applyProtection="1"/>
    <xf numFmtId="164" fontId="28" fillId="3" borderId="0" xfId="0" applyNumberFormat="1" applyFont="1" applyFill="1" applyBorder="1" applyProtection="1"/>
    <xf numFmtId="0" fontId="28" fillId="3" borderId="0" xfId="0" applyNumberFormat="1" applyFont="1" applyFill="1" applyBorder="1" applyProtection="1"/>
    <xf numFmtId="1" fontId="28" fillId="3" borderId="0" xfId="0" applyNumberFormat="1" applyFont="1" applyFill="1" applyBorder="1" applyProtection="1"/>
    <xf numFmtId="0" fontId="11" fillId="3" borderId="0" xfId="0" applyNumberFormat="1" applyFont="1" applyFill="1" applyBorder="1" applyProtection="1"/>
    <xf numFmtId="164" fontId="11" fillId="3" borderId="0" xfId="0" applyNumberFormat="1" applyFont="1" applyFill="1" applyBorder="1" applyProtection="1"/>
    <xf numFmtId="0" fontId="17" fillId="3" borderId="0" xfId="0" applyFont="1" applyFill="1" applyBorder="1" applyProtection="1"/>
    <xf numFmtId="0" fontId="17" fillId="3" borderId="0" xfId="0" applyNumberFormat="1" applyFont="1" applyFill="1" applyBorder="1" applyAlignment="1" applyProtection="1">
      <alignment horizontal="center"/>
    </xf>
    <xf numFmtId="169" fontId="17" fillId="3" borderId="0" xfId="0" applyNumberFormat="1" applyFont="1" applyFill="1" applyBorder="1" applyAlignment="1" applyProtection="1">
      <alignment horizontal="center"/>
    </xf>
    <xf numFmtId="169" fontId="17" fillId="3" borderId="0" xfId="0" applyNumberFormat="1" applyFont="1" applyFill="1" applyBorder="1" applyProtection="1"/>
    <xf numFmtId="0" fontId="17" fillId="3" borderId="0" xfId="0" applyNumberFormat="1" applyFont="1" applyFill="1" applyBorder="1" applyProtection="1"/>
    <xf numFmtId="164" fontId="17" fillId="3" borderId="0" xfId="0" applyNumberFormat="1" applyFont="1" applyFill="1" applyBorder="1" applyProtection="1"/>
    <xf numFmtId="1" fontId="17" fillId="3" borderId="0" xfId="0" applyNumberFormat="1" applyFont="1" applyFill="1" applyBorder="1" applyProtection="1"/>
    <xf numFmtId="175" fontId="12" fillId="3" borderId="0" xfId="0" applyNumberFormat="1" applyFont="1" applyFill="1" applyBorder="1" applyAlignment="1" applyProtection="1">
      <alignment horizontal="left"/>
    </xf>
    <xf numFmtId="0" fontId="11" fillId="3" borderId="0" xfId="0" applyNumberFormat="1" applyFont="1" applyFill="1" applyProtection="1"/>
    <xf numFmtId="164" fontId="11" fillId="3" borderId="0" xfId="0" applyNumberFormat="1" applyFont="1" applyFill="1" applyProtection="1"/>
    <xf numFmtId="169" fontId="11" fillId="3" borderId="0" xfId="0" applyNumberFormat="1" applyFont="1" applyFill="1" applyAlignment="1" applyProtection="1">
      <alignment horizontal="center"/>
    </xf>
    <xf numFmtId="0" fontId="11" fillId="3" borderId="0" xfId="0" applyNumberFormat="1" applyFont="1" applyFill="1" applyAlignment="1" applyProtection="1">
      <alignment horizontal="center"/>
    </xf>
    <xf numFmtId="169" fontId="11" fillId="3" borderId="0" xfId="0" applyNumberFormat="1" applyFont="1" applyFill="1" applyProtection="1"/>
    <xf numFmtId="1" fontId="11" fillId="3" borderId="0" xfId="0" applyNumberFormat="1" applyFont="1" applyFill="1" applyProtection="1"/>
    <xf numFmtId="170" fontId="25" fillId="3" borderId="0" xfId="0" applyNumberFormat="1" applyFont="1" applyFill="1" applyBorder="1" applyAlignment="1" applyProtection="1">
      <alignment horizontal="center"/>
    </xf>
    <xf numFmtId="0" fontId="37" fillId="3" borderId="0" xfId="0" applyFont="1" applyFill="1" applyBorder="1" applyAlignment="1" applyProtection="1">
      <alignment horizontal="center"/>
    </xf>
    <xf numFmtId="170" fontId="21" fillId="3" borderId="0" xfId="0" applyNumberFormat="1" applyFont="1" applyFill="1" applyBorder="1" applyAlignment="1" applyProtection="1">
      <alignment horizontal="center"/>
    </xf>
    <xf numFmtId="170" fontId="25" fillId="3" borderId="0" xfId="3" applyNumberFormat="1" applyFont="1" applyFill="1" applyBorder="1" applyProtection="1"/>
    <xf numFmtId="170" fontId="15" fillId="3" borderId="0" xfId="0" applyNumberFormat="1" applyFont="1" applyFill="1" applyBorder="1" applyAlignment="1" applyProtection="1">
      <alignment horizontal="center"/>
    </xf>
    <xf numFmtId="170" fontId="11" fillId="3" borderId="0" xfId="0" applyNumberFormat="1" applyFont="1" applyFill="1" applyBorder="1" applyAlignment="1" applyProtection="1">
      <alignment horizontal="center"/>
    </xf>
    <xf numFmtId="170" fontId="11" fillId="3" borderId="0" xfId="3" applyNumberFormat="1" applyFont="1" applyFill="1" applyBorder="1" applyProtection="1"/>
    <xf numFmtId="49" fontId="29" fillId="3" borderId="0" xfId="0" applyNumberFormat="1" applyFont="1" applyFill="1" applyAlignment="1" applyProtection="1">
      <alignment horizontal="right"/>
    </xf>
    <xf numFmtId="0" fontId="29" fillId="3" borderId="0" xfId="0" applyFont="1" applyFill="1" applyAlignment="1" applyProtection="1">
      <alignment horizontal="right"/>
    </xf>
    <xf numFmtId="169" fontId="11" fillId="3" borderId="0" xfId="3" applyNumberFormat="1" applyFont="1" applyFill="1" applyBorder="1" applyAlignment="1" applyProtection="1">
      <alignment horizontal="center"/>
    </xf>
    <xf numFmtId="170" fontId="11" fillId="3" borderId="0" xfId="3" applyNumberFormat="1" applyFont="1" applyFill="1" applyBorder="1" applyAlignment="1" applyProtection="1"/>
    <xf numFmtId="170" fontId="6" fillId="3" borderId="0" xfId="3" applyNumberFormat="1" applyFont="1" applyFill="1" applyBorder="1" applyAlignment="1" applyProtection="1">
      <alignment horizontal="left"/>
    </xf>
    <xf numFmtId="2" fontId="11" fillId="3" borderId="0" xfId="0" applyNumberFormat="1" applyFont="1" applyFill="1" applyBorder="1" applyAlignment="1" applyProtection="1">
      <alignment horizontal="center"/>
    </xf>
    <xf numFmtId="0" fontId="12" fillId="3" borderId="0" xfId="0" applyFont="1" applyFill="1" applyBorder="1" applyAlignment="1" applyProtection="1">
      <alignment horizontal="left"/>
    </xf>
    <xf numFmtId="0" fontId="12" fillId="3" borderId="0" xfId="0" applyFont="1" applyFill="1" applyBorder="1" applyAlignment="1" applyProtection="1">
      <alignment horizontal="center"/>
    </xf>
    <xf numFmtId="174" fontId="12" fillId="3" borderId="0" xfId="0"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169" fontId="12" fillId="3" borderId="0" xfId="3" applyNumberFormat="1" applyFont="1" applyFill="1" applyBorder="1" applyAlignment="1" applyProtection="1">
      <alignment horizontal="center"/>
    </xf>
    <xf numFmtId="169" fontId="12" fillId="3" borderId="0" xfId="0" applyNumberFormat="1" applyFont="1" applyFill="1" applyBorder="1" applyAlignment="1" applyProtection="1">
      <alignment horizontal="center"/>
    </xf>
    <xf numFmtId="170" fontId="12" fillId="3" borderId="0" xfId="3" applyNumberFormat="1" applyFont="1" applyFill="1" applyBorder="1" applyAlignment="1" applyProtection="1"/>
    <xf numFmtId="170" fontId="12" fillId="3" borderId="0" xfId="3" applyNumberFormat="1" applyFont="1" applyFill="1" applyBorder="1" applyProtection="1"/>
    <xf numFmtId="2" fontId="12" fillId="3" borderId="0" xfId="0" applyNumberFormat="1" applyFont="1" applyFill="1" applyBorder="1" applyAlignment="1" applyProtection="1">
      <alignment horizontal="center"/>
    </xf>
    <xf numFmtId="171" fontId="12" fillId="3" borderId="0" xfId="0" applyNumberFormat="1" applyFont="1" applyFill="1" applyBorder="1" applyProtection="1"/>
    <xf numFmtId="169" fontId="12" fillId="3" borderId="0" xfId="0" applyNumberFormat="1" applyFont="1" applyFill="1" applyBorder="1" applyProtection="1"/>
    <xf numFmtId="0" fontId="12" fillId="3" borderId="0" xfId="0" applyNumberFormat="1" applyFont="1" applyFill="1" applyBorder="1" applyAlignment="1" applyProtection="1"/>
    <xf numFmtId="2" fontId="12" fillId="3" borderId="0" xfId="0" applyNumberFormat="1" applyFont="1" applyFill="1" applyBorder="1" applyProtection="1"/>
    <xf numFmtId="0" fontId="11" fillId="2" borderId="3" xfId="0" applyFont="1" applyFill="1" applyBorder="1" applyAlignment="1" applyProtection="1">
      <alignment horizontal="left"/>
    </xf>
    <xf numFmtId="174" fontId="11" fillId="2" borderId="3" xfId="0" applyNumberFormat="1" applyFont="1" applyFill="1" applyBorder="1" applyAlignment="1" applyProtection="1">
      <alignment horizontal="center"/>
    </xf>
    <xf numFmtId="0" fontId="11" fillId="2" borderId="3" xfId="0" applyNumberFormat="1" applyFont="1" applyFill="1" applyBorder="1" applyAlignment="1" applyProtection="1">
      <alignment horizontal="center"/>
    </xf>
    <xf numFmtId="169" fontId="11" fillId="2" borderId="3" xfId="0" applyNumberFormat="1" applyFont="1" applyFill="1" applyBorder="1" applyAlignment="1" applyProtection="1">
      <alignment horizontal="center"/>
    </xf>
    <xf numFmtId="169" fontId="11" fillId="2" borderId="3" xfId="0" applyNumberFormat="1" applyFont="1" applyFill="1" applyBorder="1" applyProtection="1"/>
    <xf numFmtId="0" fontId="11" fillId="2" borderId="3" xfId="0" applyNumberFormat="1" applyFont="1" applyFill="1" applyBorder="1" applyAlignment="1" applyProtection="1"/>
    <xf numFmtId="170" fontId="6" fillId="2" borderId="3" xfId="0" applyNumberFormat="1" applyFont="1" applyFill="1" applyBorder="1" applyProtection="1"/>
    <xf numFmtId="2" fontId="11" fillId="2" borderId="3" xfId="0" applyNumberFormat="1" applyFont="1" applyFill="1" applyBorder="1" applyProtection="1"/>
    <xf numFmtId="0" fontId="11" fillId="2" borderId="0" xfId="0" applyFont="1" applyFill="1" applyBorder="1" applyAlignment="1" applyProtection="1">
      <alignment horizontal="left"/>
    </xf>
    <xf numFmtId="174" fontId="11"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xf>
    <xf numFmtId="169" fontId="11" fillId="2" borderId="0" xfId="0" applyNumberFormat="1" applyFont="1" applyFill="1" applyBorder="1" applyAlignment="1" applyProtection="1">
      <alignment horizontal="center"/>
    </xf>
    <xf numFmtId="169" fontId="11" fillId="2" borderId="0" xfId="0" applyNumberFormat="1" applyFont="1" applyFill="1" applyBorder="1" applyProtection="1"/>
    <xf numFmtId="0" fontId="11" fillId="2" borderId="0" xfId="0" applyNumberFormat="1" applyFont="1" applyFill="1" applyBorder="1" applyAlignment="1" applyProtection="1"/>
    <xf numFmtId="170" fontId="6" fillId="2" borderId="0" xfId="0" applyNumberFormat="1" applyFont="1" applyFill="1" applyBorder="1" applyProtection="1"/>
    <xf numFmtId="2" fontId="11" fillId="2" borderId="0" xfId="0" applyNumberFormat="1" applyFont="1" applyFill="1" applyBorder="1" applyProtection="1"/>
    <xf numFmtId="0" fontId="71" fillId="2" borderId="5" xfId="0" applyFont="1" applyFill="1" applyBorder="1" applyAlignment="1" applyProtection="1">
      <alignment horizontal="left"/>
    </xf>
    <xf numFmtId="0" fontId="63" fillId="2" borderId="0" xfId="0" applyFont="1" applyFill="1" applyBorder="1" applyAlignment="1" applyProtection="1">
      <alignment horizontal="left"/>
    </xf>
    <xf numFmtId="0" fontId="72" fillId="2" borderId="0" xfId="0" applyFont="1" applyFill="1" applyBorder="1" applyProtection="1"/>
    <xf numFmtId="0" fontId="72" fillId="2" borderId="0" xfId="0" applyFont="1" applyFill="1" applyBorder="1" applyAlignment="1" applyProtection="1">
      <alignment horizontal="left"/>
    </xf>
    <xf numFmtId="0" fontId="72" fillId="2" borderId="0" xfId="0" applyFont="1" applyFill="1" applyBorder="1" applyAlignment="1" applyProtection="1">
      <alignment horizontal="center"/>
    </xf>
    <xf numFmtId="174" fontId="72" fillId="2" borderId="0" xfId="0" applyNumberFormat="1" applyFont="1" applyFill="1" applyBorder="1" applyAlignment="1" applyProtection="1">
      <alignment horizontal="center"/>
    </xf>
    <xf numFmtId="0" fontId="72" fillId="2" borderId="0" xfId="0" applyNumberFormat="1" applyFont="1" applyFill="1" applyBorder="1" applyAlignment="1" applyProtection="1">
      <alignment horizontal="center"/>
    </xf>
    <xf numFmtId="169" fontId="72" fillId="2" borderId="0" xfId="0" applyNumberFormat="1" applyFont="1" applyFill="1" applyBorder="1" applyAlignment="1" applyProtection="1">
      <alignment horizontal="center"/>
    </xf>
    <xf numFmtId="169" fontId="72" fillId="2" borderId="0" xfId="0" applyNumberFormat="1" applyFont="1" applyFill="1" applyBorder="1" applyProtection="1"/>
    <xf numFmtId="0" fontId="72" fillId="2" borderId="0" xfId="0" applyNumberFormat="1" applyFont="1" applyFill="1" applyBorder="1" applyAlignment="1" applyProtection="1"/>
    <xf numFmtId="170" fontId="72" fillId="2" borderId="0" xfId="0" applyNumberFormat="1" applyFont="1" applyFill="1" applyBorder="1" applyProtection="1"/>
    <xf numFmtId="2" fontId="72" fillId="2" borderId="0" xfId="0" applyNumberFormat="1" applyFont="1" applyFill="1" applyBorder="1" applyProtection="1"/>
    <xf numFmtId="0" fontId="72" fillId="2" borderId="6" xfId="0" applyFont="1" applyFill="1" applyBorder="1" applyProtection="1"/>
    <xf numFmtId="0" fontId="27" fillId="2" borderId="5" xfId="0" applyFont="1" applyFill="1" applyBorder="1" applyAlignment="1" applyProtection="1">
      <alignment horizontal="left"/>
    </xf>
    <xf numFmtId="0" fontId="28" fillId="2" borderId="0" xfId="0" applyFont="1" applyFill="1" applyBorder="1" applyProtection="1"/>
    <xf numFmtId="0" fontId="28" fillId="2" borderId="0" xfId="0" applyFont="1" applyFill="1" applyBorder="1" applyAlignment="1" applyProtection="1">
      <alignment horizontal="left"/>
    </xf>
    <xf numFmtId="0" fontId="28" fillId="2" borderId="0" xfId="0" applyFont="1" applyFill="1" applyBorder="1" applyAlignment="1" applyProtection="1">
      <alignment horizontal="center"/>
    </xf>
    <xf numFmtId="174"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69" fontId="28" fillId="2" borderId="0" xfId="0" applyNumberFormat="1" applyFont="1" applyFill="1" applyBorder="1" applyAlignment="1" applyProtection="1">
      <alignment horizontal="center"/>
    </xf>
    <xf numFmtId="169" fontId="28" fillId="2" borderId="0" xfId="0" applyNumberFormat="1" applyFont="1" applyFill="1" applyBorder="1" applyProtection="1"/>
    <xf numFmtId="0" fontId="28" fillId="2" borderId="0" xfId="0" applyNumberFormat="1" applyFont="1" applyFill="1" applyBorder="1" applyAlignment="1" applyProtection="1"/>
    <xf numFmtId="170" fontId="28" fillId="2" borderId="0" xfId="0" applyNumberFormat="1" applyFont="1" applyFill="1" applyBorder="1" applyProtection="1"/>
    <xf numFmtId="2" fontId="28" fillId="2" borderId="0" xfId="0" applyNumberFormat="1" applyFont="1" applyFill="1" applyBorder="1" applyProtection="1"/>
    <xf numFmtId="0" fontId="28" fillId="2" borderId="6" xfId="0" applyFont="1" applyFill="1" applyBorder="1" applyProtection="1"/>
    <xf numFmtId="0" fontId="17" fillId="2" borderId="5" xfId="0" applyFont="1" applyFill="1" applyBorder="1" applyProtection="1"/>
    <xf numFmtId="0" fontId="17" fillId="2" borderId="0" xfId="0" applyFont="1" applyFill="1" applyBorder="1" applyProtection="1"/>
    <xf numFmtId="0" fontId="18" fillId="2" borderId="0" xfId="0" applyFont="1" applyFill="1" applyBorder="1" applyAlignment="1" applyProtection="1">
      <alignment horizontal="left"/>
    </xf>
    <xf numFmtId="0" fontId="20" fillId="2" borderId="0" xfId="0" applyFont="1" applyFill="1" applyBorder="1" applyAlignment="1" applyProtection="1">
      <alignment horizontal="left"/>
    </xf>
    <xf numFmtId="0" fontId="20" fillId="2" borderId="0" xfId="0" applyFont="1" applyFill="1" applyBorder="1" applyAlignment="1" applyProtection="1">
      <alignment horizontal="center"/>
    </xf>
    <xf numFmtId="174" fontId="20" fillId="2" borderId="0" xfId="0" applyNumberFormat="1" applyFont="1" applyFill="1" applyBorder="1" applyAlignment="1" applyProtection="1">
      <alignment horizontal="center"/>
    </xf>
    <xf numFmtId="0" fontId="17" fillId="2" borderId="0" xfId="0" applyNumberFormat="1" applyFont="1" applyFill="1" applyBorder="1" applyAlignment="1" applyProtection="1">
      <alignment horizontal="center"/>
    </xf>
    <xf numFmtId="169" fontId="17" fillId="2" borderId="0" xfId="0" applyNumberFormat="1" applyFont="1" applyFill="1" applyBorder="1" applyAlignment="1" applyProtection="1">
      <alignment horizontal="center"/>
    </xf>
    <xf numFmtId="169" fontId="17" fillId="2" borderId="0" xfId="0" applyNumberFormat="1" applyFont="1" applyFill="1" applyBorder="1" applyProtection="1"/>
    <xf numFmtId="0" fontId="17" fillId="2" borderId="0" xfId="0" applyNumberFormat="1" applyFont="1" applyFill="1" applyBorder="1" applyAlignment="1" applyProtection="1"/>
    <xf numFmtId="170" fontId="17" fillId="2" borderId="0" xfId="0" applyNumberFormat="1" applyFont="1" applyFill="1" applyBorder="1" applyProtection="1"/>
    <xf numFmtId="2" fontId="17" fillId="2" borderId="0" xfId="0" applyNumberFormat="1" applyFont="1" applyFill="1" applyBorder="1" applyProtection="1"/>
    <xf numFmtId="0" fontId="17" fillId="2" borderId="6" xfId="0" applyFont="1" applyFill="1" applyBorder="1" applyProtection="1"/>
    <xf numFmtId="175" fontId="12" fillId="2" borderId="0" xfId="0" applyNumberFormat="1" applyFont="1" applyFill="1" applyBorder="1" applyAlignment="1" applyProtection="1">
      <alignment horizontal="left"/>
    </xf>
    <xf numFmtId="174" fontId="13" fillId="2" borderId="0" xfId="0" applyNumberFormat="1" applyFont="1" applyFill="1" applyBorder="1" applyAlignment="1" applyProtection="1">
      <alignment horizontal="center"/>
    </xf>
    <xf numFmtId="0" fontId="19" fillId="2" borderId="0" xfId="0" applyFont="1" applyFill="1" applyBorder="1" applyAlignment="1" applyProtection="1">
      <alignment horizontal="left"/>
    </xf>
    <xf numFmtId="0" fontId="15" fillId="2" borderId="0" xfId="0" applyNumberFormat="1" applyFont="1" applyFill="1" applyBorder="1" applyAlignment="1" applyProtection="1">
      <alignment horizontal="center"/>
    </xf>
    <xf numFmtId="169" fontId="11" fillId="2" borderId="0" xfId="3" applyNumberFormat="1" applyFont="1" applyFill="1" applyBorder="1" applyAlignment="1" applyProtection="1">
      <alignment horizontal="center"/>
    </xf>
    <xf numFmtId="170" fontId="11" fillId="2" borderId="0" xfId="3" applyNumberFormat="1" applyFont="1" applyFill="1" applyBorder="1" applyAlignment="1" applyProtection="1"/>
    <xf numFmtId="170" fontId="11" fillId="2" borderId="0" xfId="3" applyNumberFormat="1" applyFont="1" applyFill="1" applyBorder="1" applyProtection="1"/>
    <xf numFmtId="170" fontId="6" fillId="2" borderId="0" xfId="3" applyNumberFormat="1" applyFont="1" applyFill="1" applyBorder="1" applyAlignment="1" applyProtection="1">
      <alignment horizontal="left"/>
    </xf>
    <xf numFmtId="2" fontId="11" fillId="2" borderId="0" xfId="0" applyNumberFormat="1" applyFont="1" applyFill="1" applyBorder="1" applyAlignment="1" applyProtection="1">
      <alignment horizontal="center"/>
    </xf>
    <xf numFmtId="0" fontId="11" fillId="2" borderId="7" xfId="0" applyFont="1" applyFill="1" applyBorder="1" applyAlignment="1" applyProtection="1">
      <alignment horizontal="left"/>
    </xf>
    <xf numFmtId="174" fontId="11" fillId="2" borderId="7" xfId="0" applyNumberFormat="1" applyFont="1" applyFill="1" applyBorder="1" applyAlignment="1" applyProtection="1">
      <alignment horizontal="center"/>
    </xf>
    <xf numFmtId="0" fontId="11" fillId="2" borderId="7" xfId="0" applyNumberFormat="1" applyFont="1" applyFill="1" applyBorder="1" applyAlignment="1" applyProtection="1">
      <alignment horizontal="center"/>
    </xf>
    <xf numFmtId="169" fontId="11" fillId="2" borderId="7" xfId="3" applyNumberFormat="1" applyFont="1" applyFill="1" applyBorder="1" applyAlignment="1" applyProtection="1">
      <alignment horizontal="center"/>
    </xf>
    <xf numFmtId="169" fontId="11" fillId="2" borderId="7" xfId="0" applyNumberFormat="1" applyFont="1" applyFill="1" applyBorder="1" applyAlignment="1" applyProtection="1">
      <alignment horizontal="center"/>
    </xf>
    <xf numFmtId="170" fontId="11" fillId="2" borderId="7" xfId="3" applyNumberFormat="1" applyFont="1" applyFill="1" applyBorder="1" applyAlignment="1" applyProtection="1"/>
    <xf numFmtId="170" fontId="11" fillId="2" borderId="7" xfId="3" applyNumberFormat="1" applyFont="1" applyFill="1" applyBorder="1" applyProtection="1"/>
    <xf numFmtId="170" fontId="6" fillId="2" borderId="7" xfId="3" applyNumberFormat="1" applyFont="1" applyFill="1" applyBorder="1" applyAlignment="1" applyProtection="1">
      <alignment horizontal="left"/>
    </xf>
    <xf numFmtId="2" fontId="11" fillId="2" borderId="7" xfId="0" applyNumberFormat="1" applyFont="1" applyFill="1" applyBorder="1" applyAlignment="1" applyProtection="1">
      <alignment horizontal="center"/>
    </xf>
    <xf numFmtId="0" fontId="11" fillId="3" borderId="1" xfId="0" applyNumberFormat="1" applyFont="1" applyFill="1" applyBorder="1" applyAlignment="1" applyProtection="1">
      <alignment horizontal="center"/>
    </xf>
    <xf numFmtId="169" fontId="11" fillId="3" borderId="1" xfId="0" applyNumberFormat="1" applyFont="1" applyFill="1" applyBorder="1" applyAlignment="1" applyProtection="1">
      <alignment horizontal="center"/>
    </xf>
    <xf numFmtId="169" fontId="11" fillId="3" borderId="1" xfId="0" applyNumberFormat="1" applyFont="1" applyFill="1" applyBorder="1" applyProtection="1"/>
    <xf numFmtId="0" fontId="11" fillId="3" borderId="1" xfId="0" applyNumberFormat="1" applyFont="1" applyFill="1" applyBorder="1" applyAlignment="1" applyProtection="1"/>
    <xf numFmtId="170" fontId="6" fillId="3" borderId="1" xfId="0" applyNumberFormat="1" applyFont="1" applyFill="1" applyBorder="1" applyProtection="1"/>
    <xf numFmtId="2" fontId="11" fillId="3" borderId="1" xfId="0" applyNumberFormat="1" applyFont="1" applyFill="1" applyBorder="1" applyProtection="1"/>
    <xf numFmtId="0" fontId="25" fillId="3" borderId="1" xfId="0" applyFont="1" applyFill="1" applyBorder="1" applyProtection="1"/>
    <xf numFmtId="0" fontId="15" fillId="3" borderId="1" xfId="0" applyNumberFormat="1" applyFont="1" applyFill="1" applyBorder="1" applyAlignment="1" applyProtection="1">
      <alignment horizontal="center"/>
    </xf>
    <xf numFmtId="169"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left"/>
    </xf>
    <xf numFmtId="170" fontId="11" fillId="3" borderId="1" xfId="0" applyNumberFormat="1" applyFont="1" applyFill="1" applyBorder="1" applyAlignment="1" applyProtection="1">
      <alignment horizontal="center"/>
    </xf>
    <xf numFmtId="170" fontId="6" fillId="3" borderId="1" xfId="0" applyNumberFormat="1" applyFont="1" applyFill="1" applyBorder="1" applyAlignment="1" applyProtection="1">
      <alignment horizontal="center"/>
    </xf>
    <xf numFmtId="2" fontId="15" fillId="3" borderId="1" xfId="0" applyNumberFormat="1" applyFont="1" applyFill="1" applyBorder="1" applyAlignment="1" applyProtection="1">
      <alignment horizontal="center"/>
    </xf>
    <xf numFmtId="164" fontId="15" fillId="3" borderId="1" xfId="0" applyNumberFormat="1" applyFont="1" applyFill="1" applyBorder="1" applyAlignment="1" applyProtection="1">
      <alignment horizontal="center"/>
    </xf>
    <xf numFmtId="170" fontId="11" fillId="3" borderId="1" xfId="3" applyNumberFormat="1" applyFont="1" applyFill="1" applyBorder="1" applyProtection="1"/>
    <xf numFmtId="0" fontId="12" fillId="3" borderId="1" xfId="0" applyFont="1" applyFill="1" applyBorder="1" applyAlignment="1" applyProtection="1">
      <alignment horizontal="left"/>
    </xf>
    <xf numFmtId="174" fontId="12" fillId="3" borderId="1" xfId="0" applyNumberFormat="1" applyFont="1" applyFill="1" applyBorder="1" applyAlignment="1" applyProtection="1">
      <alignment horizontal="center"/>
    </xf>
    <xf numFmtId="0" fontId="12" fillId="3" borderId="1" xfId="0" applyNumberFormat="1" applyFont="1" applyFill="1" applyBorder="1" applyAlignment="1" applyProtection="1">
      <alignment horizontal="center"/>
    </xf>
    <xf numFmtId="170" fontId="12" fillId="3" borderId="1" xfId="0" applyNumberFormat="1" applyFont="1" applyFill="1" applyBorder="1" applyProtection="1"/>
    <xf numFmtId="2" fontId="12" fillId="3" borderId="1" xfId="0" applyNumberFormat="1" applyFont="1" applyFill="1" applyBorder="1" applyProtection="1"/>
    <xf numFmtId="0" fontId="61" fillId="3" borderId="1" xfId="0" applyFont="1" applyFill="1" applyBorder="1" applyAlignment="1" applyProtection="1">
      <alignment horizontal="center"/>
    </xf>
    <xf numFmtId="0" fontId="60" fillId="3" borderId="1" xfId="0" applyFont="1" applyFill="1" applyBorder="1" applyAlignment="1" applyProtection="1">
      <alignment horizontal="left"/>
    </xf>
    <xf numFmtId="0" fontId="60" fillId="3" borderId="1" xfId="0" applyNumberFormat="1" applyFont="1" applyFill="1" applyBorder="1" applyAlignment="1" applyProtection="1">
      <alignment horizontal="center"/>
    </xf>
    <xf numFmtId="174" fontId="60" fillId="3" borderId="1" xfId="0" applyNumberFormat="1" applyFont="1" applyFill="1" applyBorder="1" applyAlignment="1" applyProtection="1">
      <alignment horizontal="center"/>
    </xf>
    <xf numFmtId="169" fontId="60" fillId="3" borderId="1" xfId="0" applyNumberFormat="1" applyFont="1" applyFill="1" applyBorder="1" applyAlignment="1" applyProtection="1">
      <alignment horizontal="center"/>
    </xf>
    <xf numFmtId="2" fontId="60" fillId="3" borderId="1" xfId="0" applyNumberFormat="1" applyFont="1" applyFill="1" applyBorder="1" applyAlignment="1" applyProtection="1">
      <alignment horizontal="center"/>
    </xf>
    <xf numFmtId="0" fontId="59" fillId="3" borderId="1" xfId="0" applyFont="1" applyFill="1" applyBorder="1" applyAlignment="1" applyProtection="1">
      <alignment horizontal="left"/>
    </xf>
    <xf numFmtId="1" fontId="60" fillId="3" borderId="1" xfId="0" applyNumberFormat="1" applyFont="1" applyFill="1" applyBorder="1" applyAlignment="1" applyProtection="1">
      <alignment horizontal="left"/>
    </xf>
    <xf numFmtId="174" fontId="11" fillId="2" borderId="1" xfId="0" applyNumberFormat="1" applyFont="1" applyFill="1" applyBorder="1" applyAlignment="1" applyProtection="1">
      <alignment horizontal="center"/>
      <protection locked="0"/>
    </xf>
    <xf numFmtId="169" fontId="11" fillId="2" borderId="1" xfId="3" applyNumberFormat="1" applyFont="1" applyFill="1" applyBorder="1" applyAlignment="1" applyProtection="1">
      <alignment horizontal="center"/>
      <protection locked="0"/>
    </xf>
    <xf numFmtId="170" fontId="11" fillId="5" borderId="1" xfId="3" applyNumberFormat="1" applyFont="1" applyFill="1" applyBorder="1" applyProtection="1"/>
    <xf numFmtId="170" fontId="6" fillId="5" borderId="1" xfId="3" applyNumberFormat="1" applyFont="1" applyFill="1" applyBorder="1" applyAlignment="1" applyProtection="1">
      <alignment horizontal="left"/>
    </xf>
    <xf numFmtId="169" fontId="74" fillId="4" borderId="1" xfId="0" applyNumberFormat="1" applyFont="1" applyFill="1" applyBorder="1" applyAlignment="1" applyProtection="1">
      <alignment horizontal="center"/>
    </xf>
    <xf numFmtId="0" fontId="70" fillId="2" borderId="0" xfId="0" applyFont="1" applyFill="1" applyBorder="1" applyAlignment="1" applyProtection="1"/>
    <xf numFmtId="0" fontId="16" fillId="2" borderId="0" xfId="0" applyFont="1" applyFill="1" applyBorder="1" applyAlignment="1" applyProtection="1"/>
    <xf numFmtId="49" fontId="37" fillId="2" borderId="0" xfId="0" applyNumberFormat="1" applyFont="1" applyFill="1" applyBorder="1" applyAlignment="1" applyProtection="1">
      <alignment horizontal="center"/>
    </xf>
    <xf numFmtId="0" fontId="6" fillId="3" borderId="1" xfId="0" applyFont="1" applyFill="1" applyBorder="1" applyAlignment="1" applyProtection="1"/>
    <xf numFmtId="0" fontId="11" fillId="3" borderId="0" xfId="0" applyFont="1" applyFill="1" applyBorder="1" applyAlignment="1" applyProtection="1"/>
    <xf numFmtId="0" fontId="48" fillId="3" borderId="0" xfId="0" applyFont="1" applyFill="1" applyBorder="1" applyProtection="1"/>
    <xf numFmtId="178" fontId="48" fillId="3" borderId="0" xfId="0" applyNumberFormat="1" applyFont="1" applyFill="1" applyBorder="1" applyProtection="1"/>
    <xf numFmtId="178" fontId="11" fillId="3" borderId="0" xfId="0" applyNumberFormat="1" applyFont="1" applyFill="1" applyProtection="1"/>
    <xf numFmtId="0" fontId="56" fillId="3" borderId="0" xfId="0" applyFont="1" applyFill="1" applyBorder="1" applyProtection="1"/>
    <xf numFmtId="166" fontId="42" fillId="3" borderId="0" xfId="0" applyNumberFormat="1" applyFont="1" applyFill="1" applyBorder="1" applyAlignment="1" applyProtection="1"/>
    <xf numFmtId="0" fontId="11" fillId="3" borderId="0" xfId="0" applyFont="1" applyFill="1" applyAlignment="1" applyProtection="1"/>
    <xf numFmtId="2" fontId="16" fillId="2" borderId="0" xfId="0" applyNumberFormat="1" applyFont="1" applyFill="1" applyBorder="1" applyProtection="1"/>
    <xf numFmtId="0" fontId="11" fillId="3" borderId="1" xfId="0" applyFont="1" applyFill="1" applyBorder="1" applyAlignment="1" applyProtection="1"/>
    <xf numFmtId="0" fontId="24" fillId="3" borderId="1" xfId="0" applyFont="1" applyFill="1" applyBorder="1" applyProtection="1"/>
    <xf numFmtId="164" fontId="11" fillId="3" borderId="1" xfId="0" applyNumberFormat="1" applyFont="1" applyFill="1" applyBorder="1" applyAlignment="1" applyProtection="1"/>
    <xf numFmtId="164" fontId="43" fillId="3" borderId="1" xfId="0" applyNumberFormat="1" applyFont="1" applyFill="1" applyBorder="1" applyAlignment="1" applyProtection="1"/>
    <xf numFmtId="0" fontId="15" fillId="3" borderId="0" xfId="0" applyFont="1" applyFill="1" applyBorder="1" applyAlignment="1" applyProtection="1">
      <alignment horizontal="left"/>
    </xf>
    <xf numFmtId="0" fontId="7" fillId="3" borderId="0" xfId="0" applyFont="1" applyFill="1" applyBorder="1" applyAlignment="1" applyProtection="1">
      <alignment horizontal="right"/>
    </xf>
    <xf numFmtId="49" fontId="6" fillId="2" borderId="0" xfId="0" applyNumberFormat="1" applyFont="1" applyFill="1" applyBorder="1" applyAlignment="1" applyProtection="1">
      <alignment horizontal="center"/>
    </xf>
    <xf numFmtId="164" fontId="6" fillId="2" borderId="7" xfId="0" applyNumberFormat="1" applyFont="1" applyFill="1" applyBorder="1" applyAlignment="1" applyProtection="1">
      <alignment horizontal="center"/>
    </xf>
    <xf numFmtId="164" fontId="11" fillId="3" borderId="1" xfId="0" applyNumberFormat="1" applyFont="1" applyFill="1" applyBorder="1" applyAlignment="1" applyProtection="1">
      <alignment horizontal="center"/>
    </xf>
    <xf numFmtId="164" fontId="12" fillId="3" borderId="1" xfId="0" applyNumberFormat="1" applyFont="1" applyFill="1" applyBorder="1" applyAlignment="1" applyProtection="1">
      <alignment horizontal="center"/>
    </xf>
    <xf numFmtId="164" fontId="13"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15" fillId="3" borderId="0" xfId="0" applyFont="1" applyFill="1" applyBorder="1" applyAlignment="1" applyProtection="1">
      <alignment horizontal="center"/>
    </xf>
    <xf numFmtId="164" fontId="6" fillId="3" borderId="0" xfId="0" applyNumberFormat="1" applyFont="1" applyFill="1" applyBorder="1" applyProtection="1"/>
    <xf numFmtId="0" fontId="63" fillId="2" borderId="5" xfId="0" applyFont="1" applyFill="1" applyBorder="1" applyProtection="1"/>
    <xf numFmtId="0" fontId="63" fillId="2" borderId="0" xfId="0" applyFont="1" applyFill="1" applyBorder="1" applyAlignment="1" applyProtection="1">
      <alignment horizontal="center"/>
    </xf>
    <xf numFmtId="0" fontId="71" fillId="2" borderId="0" xfId="0" applyFont="1" applyFill="1" applyBorder="1" applyProtection="1"/>
    <xf numFmtId="0" fontId="63" fillId="2" borderId="6" xfId="0" applyFont="1" applyFill="1" applyBorder="1" applyProtection="1"/>
    <xf numFmtId="0" fontId="6" fillId="2" borderId="0" xfId="0" applyFont="1" applyFill="1" applyBorder="1" applyAlignment="1" applyProtection="1">
      <alignment horizontal="left" indent="4"/>
    </xf>
    <xf numFmtId="0" fontId="7" fillId="2" borderId="0" xfId="0" applyFont="1" applyFill="1" applyBorder="1" applyAlignment="1" applyProtection="1">
      <alignment horizontal="right"/>
    </xf>
    <xf numFmtId="0" fontId="15" fillId="2" borderId="0" xfId="0" applyFont="1" applyFill="1" applyBorder="1" applyAlignment="1" applyProtection="1">
      <alignment horizontal="center"/>
    </xf>
    <xf numFmtId="0" fontId="32" fillId="2" borderId="0" xfId="0" applyFont="1" applyFill="1" applyBorder="1" applyProtection="1"/>
    <xf numFmtId="164" fontId="6" fillId="2" borderId="0" xfId="0" applyNumberFormat="1" applyFont="1" applyFill="1" applyBorder="1" applyProtection="1"/>
    <xf numFmtId="164" fontId="37" fillId="2" borderId="0" xfId="0" applyNumberFormat="1" applyFont="1" applyFill="1" applyBorder="1" applyProtection="1"/>
    <xf numFmtId="0" fontId="37" fillId="2" borderId="5" xfId="0" applyFont="1" applyFill="1" applyBorder="1" applyAlignment="1" applyProtection="1">
      <alignment horizontal="center"/>
    </xf>
    <xf numFmtId="0" fontId="37" fillId="2" borderId="6" xfId="0" applyFont="1" applyFill="1" applyBorder="1" applyAlignment="1" applyProtection="1">
      <alignment horizontal="center"/>
    </xf>
    <xf numFmtId="0" fontId="15" fillId="2" borderId="5" xfId="0" applyFont="1" applyFill="1" applyBorder="1" applyAlignment="1" applyProtection="1">
      <alignment horizontal="center"/>
    </xf>
    <xf numFmtId="0" fontId="15" fillId="2" borderId="6" xfId="0" applyFont="1" applyFill="1" applyBorder="1" applyAlignment="1" applyProtection="1">
      <alignment horizontal="center"/>
    </xf>
    <xf numFmtId="0" fontId="15" fillId="3" borderId="1" xfId="0" applyFont="1" applyFill="1" applyBorder="1" applyAlignment="1" applyProtection="1">
      <alignment horizontal="left"/>
    </xf>
    <xf numFmtId="0" fontId="6" fillId="3" borderId="1" xfId="0" applyNumberFormat="1" applyFont="1" applyFill="1" applyBorder="1" applyAlignment="1" applyProtection="1">
      <alignment horizontal="center"/>
    </xf>
    <xf numFmtId="0" fontId="30" fillId="3" borderId="0" xfId="0" applyFont="1" applyFill="1" applyBorder="1" applyProtection="1"/>
    <xf numFmtId="0" fontId="31" fillId="3" borderId="0" xfId="0" applyFont="1" applyFill="1" applyBorder="1" applyProtection="1"/>
    <xf numFmtId="0" fontId="26" fillId="3" borderId="0" xfId="0" applyFont="1" applyFill="1" applyProtection="1"/>
    <xf numFmtId="0" fontId="21" fillId="3" borderId="0" xfId="0" applyFont="1" applyFill="1" applyBorder="1" applyProtection="1"/>
    <xf numFmtId="0" fontId="33" fillId="3" borderId="0" xfId="0" applyFont="1" applyFill="1" applyBorder="1" applyProtection="1"/>
    <xf numFmtId="0" fontId="23" fillId="2" borderId="5" xfId="0" applyFont="1" applyFill="1" applyBorder="1" applyProtection="1"/>
    <xf numFmtId="0" fontId="16" fillId="2" borderId="0" xfId="0" applyNumberFormat="1" applyFont="1" applyFill="1" applyBorder="1" applyProtection="1"/>
    <xf numFmtId="0" fontId="23" fillId="2" borderId="0" xfId="0" applyFont="1" applyFill="1" applyBorder="1" applyProtection="1"/>
    <xf numFmtId="49" fontId="25" fillId="2" borderId="0" xfId="0" applyNumberFormat="1" applyFont="1" applyFill="1" applyBorder="1" applyAlignment="1" applyProtection="1">
      <alignment horizontal="center"/>
    </xf>
    <xf numFmtId="0" fontId="40" fillId="3" borderId="1" xfId="0" applyFont="1" applyFill="1" applyBorder="1" applyAlignment="1" applyProtection="1">
      <alignment horizontal="left"/>
    </xf>
    <xf numFmtId="0" fontId="7" fillId="3" borderId="1" xfId="0" applyFont="1" applyFill="1" applyBorder="1" applyAlignment="1" applyProtection="1">
      <alignment horizontal="left"/>
    </xf>
    <xf numFmtId="165" fontId="15" fillId="3" borderId="0" xfId="3" applyNumberFormat="1" applyFont="1" applyFill="1" applyBorder="1" applyProtection="1"/>
    <xf numFmtId="165" fontId="21" fillId="3" borderId="0" xfId="3" applyNumberFormat="1" applyFont="1" applyFill="1" applyBorder="1" applyProtection="1"/>
    <xf numFmtId="171" fontId="6" fillId="3" borderId="0" xfId="0" applyNumberFormat="1" applyFont="1" applyFill="1" applyBorder="1" applyProtection="1"/>
    <xf numFmtId="0" fontId="59" fillId="2" borderId="0" xfId="0" applyFont="1" applyFill="1" applyBorder="1" applyAlignment="1" applyProtection="1">
      <alignment horizontal="right"/>
    </xf>
    <xf numFmtId="0" fontId="59" fillId="2" borderId="6" xfId="0" applyFont="1" applyFill="1" applyBorder="1" applyProtection="1"/>
    <xf numFmtId="0" fontId="13" fillId="2" borderId="0" xfId="0" applyFont="1" applyFill="1" applyBorder="1" applyAlignment="1" applyProtection="1">
      <alignment horizontal="right"/>
    </xf>
    <xf numFmtId="165" fontId="15" fillId="2" borderId="0" xfId="3" applyNumberFormat="1" applyFont="1" applyFill="1" applyBorder="1" applyProtection="1"/>
    <xf numFmtId="165" fontId="15" fillId="2" borderId="6" xfId="3" applyNumberFormat="1" applyFont="1" applyFill="1" applyBorder="1" applyProtection="1"/>
    <xf numFmtId="16" fontId="13" fillId="2" borderId="0" xfId="0" applyNumberFormat="1" applyFont="1" applyFill="1" applyBorder="1" applyAlignment="1" applyProtection="1">
      <alignment horizontal="center"/>
    </xf>
    <xf numFmtId="0" fontId="22" fillId="2" borderId="0" xfId="0" applyFont="1" applyFill="1" applyBorder="1" applyAlignment="1" applyProtection="1">
      <alignment horizontal="right"/>
    </xf>
    <xf numFmtId="165" fontId="21" fillId="2" borderId="0" xfId="3" applyNumberFormat="1" applyFont="1" applyFill="1" applyBorder="1" applyProtection="1"/>
    <xf numFmtId="165" fontId="21" fillId="2" borderId="6" xfId="3" applyNumberFormat="1" applyFont="1" applyFill="1" applyBorder="1" applyProtection="1"/>
    <xf numFmtId="164" fontId="6" fillId="2" borderId="0" xfId="0" applyNumberFormat="1" applyFont="1" applyFill="1" applyBorder="1" applyAlignment="1" applyProtection="1">
      <alignment horizontal="left"/>
    </xf>
    <xf numFmtId="164" fontId="7" fillId="2" borderId="0" xfId="0" applyNumberFormat="1" applyFont="1" applyFill="1" applyBorder="1" applyAlignment="1" applyProtection="1">
      <alignment horizontal="left"/>
    </xf>
    <xf numFmtId="0" fontId="7" fillId="2" borderId="7" xfId="0" applyFont="1" applyFill="1" applyBorder="1" applyAlignment="1" applyProtection="1">
      <alignment horizontal="right"/>
    </xf>
    <xf numFmtId="170" fontId="7" fillId="2" borderId="7" xfId="0" applyNumberFormat="1" applyFont="1" applyFill="1" applyBorder="1" applyProtection="1"/>
    <xf numFmtId="0" fontId="13" fillId="3" borderId="1" xfId="0" applyFont="1" applyFill="1" applyBorder="1" applyAlignment="1" applyProtection="1">
      <alignment horizontal="right"/>
    </xf>
    <xf numFmtId="165" fontId="15" fillId="3" borderId="1" xfId="3" applyNumberFormat="1" applyFont="1" applyFill="1" applyBorder="1" applyProtection="1"/>
    <xf numFmtId="164" fontId="6" fillId="3" borderId="1" xfId="0" applyNumberFormat="1" applyFont="1" applyFill="1" applyBorder="1" applyAlignment="1" applyProtection="1">
      <alignment horizontal="left"/>
    </xf>
    <xf numFmtId="164" fontId="7" fillId="3" borderId="1" xfId="0" applyNumberFormat="1" applyFont="1" applyFill="1" applyBorder="1" applyAlignment="1" applyProtection="1">
      <alignment horizontal="left"/>
    </xf>
    <xf numFmtId="0" fontId="6" fillId="3" borderId="1" xfId="0" applyNumberFormat="1" applyFont="1" applyFill="1" applyBorder="1" applyProtection="1"/>
    <xf numFmtId="0" fontId="15" fillId="3" borderId="1" xfId="0" applyFont="1" applyFill="1" applyBorder="1" applyAlignment="1" applyProtection="1">
      <alignment horizontal="right"/>
    </xf>
    <xf numFmtId="164" fontId="15" fillId="3" borderId="1" xfId="0" applyNumberFormat="1" applyFont="1" applyFill="1" applyBorder="1" applyAlignment="1" applyProtection="1">
      <alignment horizontal="left"/>
    </xf>
    <xf numFmtId="164" fontId="59" fillId="3" borderId="0" xfId="0" applyNumberFormat="1" applyFont="1" applyFill="1" applyBorder="1" applyProtection="1"/>
    <xf numFmtId="164" fontId="25" fillId="3" borderId="0" xfId="0" applyNumberFormat="1" applyFont="1" applyFill="1" applyBorder="1" applyProtection="1"/>
    <xf numFmtId="164" fontId="6" fillId="3" borderId="0" xfId="0" applyNumberFormat="1" applyFont="1" applyFill="1" applyBorder="1" applyAlignment="1" applyProtection="1">
      <alignment horizontal="center"/>
    </xf>
    <xf numFmtId="0" fontId="34" fillId="3" borderId="0" xfId="0" applyFont="1" applyFill="1" applyBorder="1" applyAlignment="1" applyProtection="1">
      <alignment horizontal="center"/>
    </xf>
    <xf numFmtId="164" fontId="16" fillId="3" borderId="0" xfId="0" applyNumberFormat="1" applyFont="1" applyFill="1" applyBorder="1" applyProtection="1"/>
    <xf numFmtId="164" fontId="7" fillId="3" borderId="0" xfId="0" applyNumberFormat="1" applyFont="1" applyFill="1" applyBorder="1" applyProtection="1"/>
    <xf numFmtId="0" fontId="71" fillId="2" borderId="5" xfId="0" applyFont="1" applyFill="1" applyBorder="1" applyProtection="1"/>
    <xf numFmtId="0" fontId="62" fillId="2" borderId="0" xfId="0" applyFont="1" applyFill="1" applyBorder="1" applyAlignment="1" applyProtection="1">
      <alignment horizontal="center"/>
    </xf>
    <xf numFmtId="0" fontId="32" fillId="2" borderId="5" xfId="0" applyFont="1" applyFill="1" applyBorder="1" applyProtection="1"/>
    <xf numFmtId="0" fontId="13" fillId="2" borderId="0" xfId="0" applyFont="1" applyFill="1" applyBorder="1" applyProtection="1"/>
    <xf numFmtId="49" fontId="15" fillId="2" borderId="0" xfId="0" applyNumberFormat="1" applyFont="1" applyFill="1" applyBorder="1" applyAlignment="1" applyProtection="1">
      <alignment horizontal="center"/>
    </xf>
    <xf numFmtId="0" fontId="8" fillId="2" borderId="5" xfId="0" applyFont="1" applyFill="1" applyBorder="1" applyProtection="1"/>
    <xf numFmtId="0" fontId="8" fillId="2" borderId="0" xfId="0" applyFont="1" applyFill="1" applyBorder="1" applyProtection="1"/>
    <xf numFmtId="0" fontId="21" fillId="2" borderId="0" xfId="0" applyFont="1" applyFill="1" applyBorder="1" applyProtection="1"/>
    <xf numFmtId="0" fontId="22" fillId="2" borderId="0" xfId="0" applyFont="1" applyFill="1" applyBorder="1" applyAlignment="1" applyProtection="1">
      <alignment horizontal="center"/>
    </xf>
    <xf numFmtId="0" fontId="6" fillId="2" borderId="0" xfId="0" applyFont="1" applyFill="1" applyBorder="1" applyAlignment="1" applyProtection="1">
      <alignment horizontal="right"/>
    </xf>
    <xf numFmtId="164" fontId="7" fillId="2" borderId="0" xfId="0" applyNumberFormat="1" applyFont="1" applyFill="1" applyBorder="1" applyAlignment="1" applyProtection="1">
      <alignment horizontal="center"/>
    </xf>
    <xf numFmtId="0" fontId="6" fillId="2" borderId="6" xfId="0" applyFont="1" applyFill="1" applyBorder="1" applyAlignment="1" applyProtection="1">
      <alignment horizontal="right"/>
    </xf>
    <xf numFmtId="9" fontId="6" fillId="2" borderId="6" xfId="2" applyFont="1" applyFill="1" applyBorder="1" applyAlignment="1" applyProtection="1">
      <alignment horizontal="right"/>
    </xf>
    <xf numFmtId="0" fontId="25" fillId="2" borderId="6" xfId="0" applyFont="1" applyFill="1" applyBorder="1" applyAlignment="1" applyProtection="1">
      <alignment horizontal="right"/>
    </xf>
    <xf numFmtId="0" fontId="7" fillId="2" borderId="7" xfId="0" applyFont="1" applyFill="1" applyBorder="1" applyProtection="1"/>
    <xf numFmtId="172" fontId="7" fillId="2" borderId="7" xfId="0" applyNumberFormat="1" applyFont="1" applyFill="1" applyBorder="1" applyAlignment="1" applyProtection="1">
      <alignment horizontal="center"/>
    </xf>
    <xf numFmtId="0" fontId="6" fillId="3" borderId="1" xfId="0" applyFont="1" applyFill="1" applyBorder="1" applyAlignment="1" applyProtection="1">
      <alignment horizontal="right"/>
    </xf>
    <xf numFmtId="0" fontId="25" fillId="3" borderId="1" xfId="0" applyFont="1" applyFill="1" applyBorder="1" applyAlignment="1" applyProtection="1">
      <alignment horizontal="center"/>
    </xf>
    <xf numFmtId="0" fontId="1" fillId="3" borderId="0" xfId="0" applyFont="1" applyFill="1" applyBorder="1" applyProtection="1"/>
    <xf numFmtId="0" fontId="1" fillId="3" borderId="0" xfId="0" applyFont="1" applyFill="1" applyBorder="1" applyAlignment="1" applyProtection="1">
      <alignment horizontal="center"/>
    </xf>
    <xf numFmtId="164" fontId="1" fillId="3" borderId="0" xfId="0" applyNumberFormat="1" applyFont="1" applyFill="1" applyBorder="1" applyProtection="1"/>
    <xf numFmtId="0" fontId="27" fillId="2" borderId="5" xfId="0" applyFont="1" applyFill="1" applyBorder="1" applyProtection="1"/>
    <xf numFmtId="0" fontId="25" fillId="2" borderId="0" xfId="0" applyFont="1" applyFill="1" applyBorder="1" applyAlignment="1" applyProtection="1">
      <alignment horizontal="center"/>
    </xf>
    <xf numFmtId="0" fontId="23" fillId="2" borderId="0" xfId="0" applyFont="1" applyFill="1" applyBorder="1" applyAlignment="1" applyProtection="1">
      <alignment horizontal="left"/>
    </xf>
    <xf numFmtId="164" fontId="75" fillId="3" borderId="0" xfId="0" applyNumberFormat="1" applyFont="1" applyFill="1" applyBorder="1" applyProtection="1"/>
    <xf numFmtId="0" fontId="75" fillId="3" borderId="0" xfId="0" applyFont="1" applyFill="1" applyBorder="1" applyProtection="1"/>
    <xf numFmtId="0" fontId="16" fillId="2" borderId="0" xfId="0" applyFont="1" applyFill="1" applyBorder="1" applyAlignment="1" applyProtection="1">
      <alignment horizontal="left"/>
    </xf>
    <xf numFmtId="164" fontId="76" fillId="3" borderId="0" xfId="0" applyNumberFormat="1" applyFont="1" applyFill="1" applyBorder="1" applyProtection="1"/>
    <xf numFmtId="0" fontId="76" fillId="3" borderId="0" xfId="0" applyFont="1" applyFill="1" applyBorder="1" applyProtection="1"/>
    <xf numFmtId="0" fontId="22" fillId="2" borderId="0" xfId="0" applyFont="1" applyFill="1" applyBorder="1" applyProtection="1"/>
    <xf numFmtId="0" fontId="6" fillId="3" borderId="8" xfId="0" applyFont="1" applyFill="1" applyBorder="1" applyProtection="1"/>
    <xf numFmtId="0" fontId="6" fillId="3" borderId="9" xfId="0" applyFont="1" applyFill="1" applyBorder="1" applyProtection="1"/>
    <xf numFmtId="0" fontId="7" fillId="3" borderId="11" xfId="0" applyFont="1" applyFill="1" applyBorder="1" applyProtection="1"/>
    <xf numFmtId="164" fontId="7" fillId="5" borderId="1" xfId="0" applyNumberFormat="1" applyFont="1" applyFill="1" applyBorder="1" applyAlignment="1" applyProtection="1">
      <alignment horizontal="center"/>
    </xf>
    <xf numFmtId="0" fontId="7" fillId="3" borderId="12" xfId="0" applyFont="1" applyFill="1" applyBorder="1" applyAlignment="1" applyProtection="1">
      <alignment horizontal="center"/>
    </xf>
    <xf numFmtId="164" fontId="77" fillId="3" borderId="0" xfId="0" applyNumberFormat="1" applyFont="1" applyFill="1" applyBorder="1" applyProtection="1"/>
    <xf numFmtId="0" fontId="77" fillId="3" borderId="0" xfId="0" applyFont="1" applyFill="1" applyBorder="1" applyProtection="1"/>
    <xf numFmtId="0" fontId="59" fillId="3" borderId="14" xfId="0" applyFont="1" applyFill="1" applyBorder="1" applyProtection="1"/>
    <xf numFmtId="0" fontId="6" fillId="3" borderId="15" xfId="0" applyFont="1" applyFill="1" applyBorder="1" applyAlignment="1" applyProtection="1">
      <alignment horizontal="center"/>
    </xf>
    <xf numFmtId="0" fontId="6" fillId="3" borderId="11" xfId="0" applyFont="1" applyFill="1" applyBorder="1" applyProtection="1"/>
    <xf numFmtId="164" fontId="6" fillId="5" borderId="1" xfId="0" applyNumberFormat="1" applyFont="1" applyFill="1" applyBorder="1" applyAlignment="1" applyProtection="1">
      <alignment horizontal="left"/>
    </xf>
    <xf numFmtId="0" fontId="78" fillId="3" borderId="1" xfId="0" applyFont="1" applyFill="1" applyBorder="1" applyProtection="1"/>
    <xf numFmtId="164" fontId="79" fillId="4" borderId="1" xfId="0" applyNumberFormat="1" applyFont="1" applyFill="1" applyBorder="1" applyAlignment="1" applyProtection="1">
      <alignment horizontal="center"/>
    </xf>
    <xf numFmtId="0" fontId="6" fillId="3" borderId="1" xfId="0" quotePrefix="1" applyFont="1" applyFill="1" applyBorder="1" applyProtection="1"/>
    <xf numFmtId="164" fontId="74" fillId="4" borderId="1" xfId="0" applyNumberFormat="1" applyFont="1" applyFill="1" applyBorder="1" applyAlignment="1" applyProtection="1">
      <alignment horizontal="center"/>
    </xf>
    <xf numFmtId="164" fontId="64" fillId="4" borderId="1" xfId="0" applyNumberFormat="1" applyFont="1" applyFill="1" applyBorder="1" applyAlignment="1" applyProtection="1">
      <alignment horizontal="center"/>
    </xf>
    <xf numFmtId="0" fontId="69" fillId="3" borderId="1" xfId="0" applyFont="1" applyFill="1" applyBorder="1" applyAlignment="1" applyProtection="1">
      <alignment horizontal="left"/>
    </xf>
    <xf numFmtId="0" fontId="67" fillId="3" borderId="1" xfId="0" applyFont="1" applyFill="1" applyBorder="1" applyAlignment="1" applyProtection="1">
      <alignment horizontal="center"/>
    </xf>
    <xf numFmtId="164" fontId="69" fillId="3" borderId="1" xfId="0" applyNumberFormat="1" applyFont="1" applyFill="1" applyBorder="1" applyAlignment="1" applyProtection="1">
      <alignment horizontal="center"/>
    </xf>
    <xf numFmtId="164" fontId="74" fillId="4" borderId="1" xfId="0" applyNumberFormat="1" applyFont="1" applyFill="1" applyBorder="1" applyProtection="1"/>
    <xf numFmtId="0" fontId="69" fillId="3" borderId="1" xfId="0" applyFont="1" applyFill="1" applyBorder="1" applyProtection="1"/>
    <xf numFmtId="0" fontId="66" fillId="3" borderId="1" xfId="0" applyFont="1" applyFill="1" applyBorder="1" applyAlignment="1" applyProtection="1">
      <alignment horizontal="center"/>
    </xf>
    <xf numFmtId="177" fontId="69" fillId="3" borderId="1" xfId="0" applyNumberFormat="1" applyFont="1" applyFill="1" applyBorder="1" applyAlignment="1" applyProtection="1">
      <alignment horizontal="center"/>
    </xf>
    <xf numFmtId="179" fontId="69" fillId="3" borderId="1" xfId="0" applyNumberFormat="1" applyFont="1" applyFill="1" applyBorder="1" applyAlignment="1" applyProtection="1">
      <alignment horizontal="center"/>
    </xf>
    <xf numFmtId="164" fontId="6" fillId="3" borderId="14" xfId="0" applyNumberFormat="1" applyFont="1" applyFill="1" applyBorder="1" applyAlignment="1" applyProtection="1">
      <alignment horizontal="center"/>
    </xf>
    <xf numFmtId="164" fontId="6" fillId="2" borderId="0" xfId="0" applyNumberFormat="1" applyFont="1" applyFill="1" applyBorder="1" applyAlignment="1" applyProtection="1">
      <alignment horizontal="center"/>
    </xf>
    <xf numFmtId="15" fontId="80" fillId="0" borderId="0" xfId="0" applyNumberFormat="1" applyFont="1"/>
    <xf numFmtId="0" fontId="11" fillId="2" borderId="1" xfId="0" applyFont="1" applyFill="1" applyBorder="1" applyProtection="1">
      <protection locked="0"/>
    </xf>
    <xf numFmtId="0" fontId="6" fillId="2" borderId="1" xfId="0" applyFont="1" applyFill="1" applyBorder="1" applyProtection="1">
      <protection locked="0"/>
    </xf>
    <xf numFmtId="0" fontId="6" fillId="5" borderId="1" xfId="0" applyFont="1" applyFill="1" applyBorder="1" applyAlignment="1" applyProtection="1">
      <alignment horizontal="center"/>
    </xf>
    <xf numFmtId="164" fontId="11" fillId="2" borderId="1" xfId="0" applyNumberFormat="1" applyFont="1" applyFill="1" applyBorder="1" applyAlignment="1" applyProtection="1">
      <alignment horizontal="center"/>
      <protection locked="0"/>
    </xf>
    <xf numFmtId="0" fontId="7" fillId="3" borderId="9" xfId="0" applyFont="1" applyFill="1" applyBorder="1" applyProtection="1"/>
    <xf numFmtId="0" fontId="12" fillId="3" borderId="18" xfId="0" applyFont="1" applyFill="1" applyBorder="1" applyProtection="1"/>
    <xf numFmtId="0" fontId="11" fillId="3" borderId="18" xfId="0" applyFont="1" applyFill="1" applyBorder="1" applyProtection="1"/>
    <xf numFmtId="0" fontId="11" fillId="3" borderId="18" xfId="0" applyFont="1" applyFill="1" applyBorder="1" applyAlignment="1" applyProtection="1">
      <alignment horizontal="center"/>
    </xf>
    <xf numFmtId="164" fontId="11" fillId="2" borderId="1" xfId="0" applyNumberFormat="1" applyFont="1" applyFill="1" applyBorder="1" applyProtection="1">
      <protection locked="0"/>
    </xf>
    <xf numFmtId="164" fontId="6" fillId="2" borderId="1" xfId="0" applyNumberFormat="1" applyFont="1" applyFill="1" applyBorder="1" applyProtection="1">
      <protection locked="0"/>
    </xf>
    <xf numFmtId="164" fontId="43" fillId="4" borderId="1" xfId="0" applyNumberFormat="1" applyFont="1" applyFill="1" applyBorder="1" applyAlignment="1" applyProtection="1">
      <alignment horizontal="center"/>
    </xf>
    <xf numFmtId="164" fontId="34" fillId="4" borderId="1" xfId="0" applyNumberFormat="1" applyFont="1" applyFill="1" applyBorder="1" applyAlignment="1" applyProtection="1">
      <alignment horizontal="center"/>
    </xf>
    <xf numFmtId="164" fontId="41" fillId="4" borderId="1" xfId="0" applyNumberFormat="1" applyFont="1" applyFill="1" applyBorder="1" applyAlignment="1" applyProtection="1">
      <alignment horizontal="center"/>
    </xf>
    <xf numFmtId="164" fontId="42" fillId="4" borderId="1" xfId="0" applyNumberFormat="1" applyFont="1" applyFill="1" applyBorder="1" applyProtection="1"/>
    <xf numFmtId="164" fontId="6" fillId="5" borderId="1" xfId="0" applyNumberFormat="1" applyFont="1" applyFill="1" applyBorder="1" applyProtection="1"/>
    <xf numFmtId="0" fontId="8" fillId="0" borderId="0" xfId="0" applyFont="1"/>
    <xf numFmtId="0" fontId="62" fillId="0" borderId="0" xfId="0" applyFont="1"/>
    <xf numFmtId="164" fontId="6" fillId="5" borderId="1" xfId="0" applyNumberFormat="1" applyFont="1" applyFill="1" applyBorder="1" applyAlignment="1" applyProtection="1"/>
    <xf numFmtId="164" fontId="42" fillId="4" borderId="1" xfId="0" applyNumberFormat="1" applyFont="1" applyFill="1" applyBorder="1" applyAlignment="1" applyProtection="1"/>
    <xf numFmtId="164" fontId="11" fillId="5" borderId="1" xfId="0" applyNumberFormat="1" applyFont="1" applyFill="1" applyBorder="1" applyAlignment="1" applyProtection="1"/>
    <xf numFmtId="166" fontId="42" fillId="4" borderId="1" xfId="0" applyNumberFormat="1" applyFont="1" applyFill="1" applyBorder="1" applyAlignment="1" applyProtection="1"/>
    <xf numFmtId="167" fontId="34" fillId="4" borderId="1" xfId="0" applyNumberFormat="1" applyFont="1" applyFill="1" applyBorder="1" applyAlignment="1" applyProtection="1"/>
    <xf numFmtId="167" fontId="42" fillId="4" borderId="1" xfId="0" applyNumberFormat="1" applyFont="1" applyFill="1" applyBorder="1" applyAlignment="1" applyProtection="1"/>
    <xf numFmtId="164" fontId="43" fillId="4" borderId="1" xfId="0" applyNumberFormat="1" applyFont="1" applyFill="1" applyBorder="1" applyAlignment="1" applyProtection="1"/>
    <xf numFmtId="49" fontId="6" fillId="2" borderId="1" xfId="0" applyNumberFormat="1" applyFont="1" applyFill="1" applyBorder="1" applyAlignment="1" applyProtection="1">
      <alignment horizontal="center"/>
      <protection locked="0"/>
    </xf>
    <xf numFmtId="49" fontId="69" fillId="3" borderId="0" xfId="0" applyNumberFormat="1" applyFont="1" applyFill="1" applyBorder="1" applyAlignment="1" applyProtection="1">
      <alignment horizontal="center"/>
    </xf>
    <xf numFmtId="0" fontId="6" fillId="5" borderId="1" xfId="0" applyNumberFormat="1" applyFont="1" applyFill="1" applyBorder="1" applyAlignment="1" applyProtection="1">
      <alignment horizontal="center"/>
    </xf>
    <xf numFmtId="164" fontId="42" fillId="4" borderId="1" xfId="0" applyNumberFormat="1" applyFont="1" applyFill="1" applyBorder="1" applyAlignment="1" applyProtection="1">
      <alignment horizontal="center"/>
    </xf>
    <xf numFmtId="0" fontId="42" fillId="4" borderId="1" xfId="0" applyNumberFormat="1" applyFont="1" applyFill="1" applyBorder="1" applyAlignment="1" applyProtection="1">
      <alignment horizontal="center"/>
    </xf>
    <xf numFmtId="164" fontId="34" fillId="4" borderId="1" xfId="0" applyNumberFormat="1" applyFont="1" applyFill="1" applyBorder="1" applyProtection="1"/>
    <xf numFmtId="164" fontId="6" fillId="5" borderId="1" xfId="3" applyNumberFormat="1" applyFont="1" applyFill="1" applyBorder="1" applyAlignment="1" applyProtection="1">
      <alignment horizontal="left"/>
    </xf>
    <xf numFmtId="164" fontId="6" fillId="2" borderId="1" xfId="0" applyNumberFormat="1" applyFont="1" applyFill="1" applyBorder="1" applyAlignment="1" applyProtection="1">
      <alignment horizontal="left"/>
      <protection locked="0"/>
    </xf>
    <xf numFmtId="164" fontId="34" fillId="4" borderId="1" xfId="0" applyNumberFormat="1" applyFont="1" applyFill="1" applyBorder="1" applyAlignment="1" applyProtection="1">
      <alignment horizontal="left"/>
    </xf>
    <xf numFmtId="164" fontId="44" fillId="4" borderId="1" xfId="0" applyNumberFormat="1" applyFont="1" applyFill="1" applyBorder="1" applyAlignment="1" applyProtection="1">
      <alignment horizontal="center"/>
    </xf>
    <xf numFmtId="173" fontId="81" fillId="5" borderId="1" xfId="2" applyNumberFormat="1" applyFont="1" applyFill="1" applyBorder="1" applyAlignment="1" applyProtection="1">
      <alignment horizontal="center"/>
    </xf>
    <xf numFmtId="2" fontId="81" fillId="5" borderId="1" xfId="0" applyNumberFormat="1" applyFont="1" applyFill="1" applyBorder="1" applyAlignment="1" applyProtection="1">
      <alignment horizontal="center"/>
    </xf>
    <xf numFmtId="9" fontId="81" fillId="5" borderId="1" xfId="2" applyFont="1" applyFill="1" applyBorder="1" applyAlignment="1" applyProtection="1">
      <alignment horizontal="center"/>
    </xf>
    <xf numFmtId="0" fontId="12" fillId="2" borderId="1" xfId="0" applyFont="1" applyFill="1" applyBorder="1" applyProtection="1">
      <protection locked="0"/>
    </xf>
    <xf numFmtId="0" fontId="11" fillId="3" borderId="9" xfId="0" applyFont="1" applyFill="1" applyBorder="1" applyAlignment="1" applyProtection="1"/>
    <xf numFmtId="0" fontId="48" fillId="2" borderId="0" xfId="0" applyFont="1" applyFill="1" applyBorder="1" applyAlignment="1" applyProtection="1"/>
    <xf numFmtId="164" fontId="43" fillId="3" borderId="9" xfId="0" applyNumberFormat="1" applyFont="1" applyFill="1" applyBorder="1" applyAlignment="1" applyProtection="1"/>
    <xf numFmtId="0" fontId="12" fillId="2" borderId="7" xfId="0" applyFont="1" applyFill="1" applyBorder="1" applyProtection="1"/>
    <xf numFmtId="167" fontId="7" fillId="3" borderId="14" xfId="0" applyNumberFormat="1" applyFont="1" applyFill="1" applyBorder="1" applyAlignment="1" applyProtection="1">
      <alignment horizontal="center"/>
    </xf>
    <xf numFmtId="167" fontId="6" fillId="5" borderId="1" xfId="0" applyNumberFormat="1" applyFont="1" applyFill="1" applyBorder="1" applyAlignment="1" applyProtection="1">
      <alignment horizontal="center"/>
    </xf>
    <xf numFmtId="0" fontId="18" fillId="2" borderId="17" xfId="0" applyFont="1" applyFill="1" applyBorder="1" applyProtection="1"/>
    <xf numFmtId="0" fontId="82" fillId="2" borderId="7" xfId="0" applyFont="1" applyFill="1" applyBorder="1" applyProtection="1"/>
    <xf numFmtId="0" fontId="18" fillId="0" borderId="7" xfId="0" applyFont="1" applyFill="1" applyBorder="1" applyAlignment="1" applyProtection="1">
      <alignment horizontal="left"/>
    </xf>
    <xf numFmtId="0" fontId="82" fillId="2" borderId="7" xfId="0" applyFont="1" applyFill="1" applyBorder="1" applyAlignment="1" applyProtection="1">
      <alignment horizontal="center"/>
    </xf>
    <xf numFmtId="0" fontId="18" fillId="3" borderId="0" xfId="0" applyFont="1" applyFill="1" applyProtection="1"/>
    <xf numFmtId="0" fontId="38" fillId="2" borderId="6" xfId="0" applyFont="1" applyFill="1" applyBorder="1" applyProtection="1"/>
    <xf numFmtId="0" fontId="11" fillId="3" borderId="19" xfId="0" applyFont="1" applyFill="1" applyBorder="1" applyProtection="1"/>
    <xf numFmtId="0" fontId="6" fillId="3" borderId="19" xfId="0" applyFont="1" applyFill="1" applyBorder="1" applyAlignment="1" applyProtection="1">
      <alignment horizontal="center"/>
    </xf>
    <xf numFmtId="0" fontId="11" fillId="3" borderId="20" xfId="0" applyFont="1" applyFill="1" applyBorder="1" applyProtection="1"/>
    <xf numFmtId="0" fontId="11" fillId="3" borderId="20" xfId="0" applyFont="1" applyFill="1" applyBorder="1" applyAlignment="1" applyProtection="1">
      <alignment horizontal="center"/>
    </xf>
    <xf numFmtId="164" fontId="11" fillId="0" borderId="1" xfId="0" applyNumberFormat="1" applyFont="1" applyFill="1" applyBorder="1" applyAlignment="1" applyProtection="1">
      <alignment horizontal="center"/>
      <protection locked="0"/>
    </xf>
    <xf numFmtId="166" fontId="6" fillId="3" borderId="1" xfId="0" applyNumberFormat="1" applyFont="1" applyFill="1" applyBorder="1" applyProtection="1"/>
    <xf numFmtId="0" fontId="11" fillId="0" borderId="1" xfId="0" applyFont="1" applyFill="1" applyBorder="1" applyProtection="1">
      <protection locked="0"/>
    </xf>
    <xf numFmtId="0" fontId="6" fillId="0" borderId="0" xfId="0" quotePrefix="1" applyFont="1"/>
    <xf numFmtId="2" fontId="6" fillId="2" borderId="1" xfId="0" applyNumberFormat="1" applyFont="1" applyFill="1" applyBorder="1" applyAlignment="1" applyProtection="1">
      <alignment horizontal="center"/>
      <protection locked="0"/>
    </xf>
    <xf numFmtId="0" fontId="40" fillId="0" borderId="0" xfId="0" applyFont="1"/>
    <xf numFmtId="0" fontId="15" fillId="2" borderId="0" xfId="0" applyFont="1" applyFill="1" applyBorder="1" applyAlignment="1" applyProtection="1">
      <alignment horizontal="right"/>
    </xf>
    <xf numFmtId="0" fontId="86" fillId="2" borderId="0" xfId="0" applyFont="1" applyFill="1" applyBorder="1" applyAlignment="1" applyProtection="1">
      <alignment horizontal="right"/>
    </xf>
    <xf numFmtId="49" fontId="86" fillId="2" borderId="0" xfId="0" applyNumberFormat="1" applyFont="1" applyFill="1" applyBorder="1" applyAlignment="1" applyProtection="1">
      <alignment horizontal="center"/>
    </xf>
    <xf numFmtId="1" fontId="86" fillId="2" borderId="0" xfId="0" applyNumberFormat="1" applyFont="1" applyFill="1" applyBorder="1" applyAlignment="1" applyProtection="1">
      <alignment horizontal="center"/>
    </xf>
    <xf numFmtId="0" fontId="6" fillId="0" borderId="1" xfId="0" applyFont="1" applyFill="1" applyBorder="1" applyProtection="1">
      <protection locked="0"/>
    </xf>
    <xf numFmtId="166" fontId="6" fillId="2" borderId="1" xfId="0" applyNumberFormat="1" applyFont="1" applyFill="1" applyBorder="1" applyAlignment="1" applyProtection="1">
      <alignment horizontal="center"/>
      <protection locked="0"/>
    </xf>
    <xf numFmtId="0" fontId="7" fillId="2" borderId="1" xfId="0" applyFont="1" applyFill="1" applyBorder="1" applyProtection="1">
      <protection locked="0"/>
    </xf>
    <xf numFmtId="0" fontId="87" fillId="4" borderId="1" xfId="0" applyFont="1" applyFill="1" applyBorder="1" applyAlignment="1" applyProtection="1">
      <alignment horizontal="center"/>
    </xf>
    <xf numFmtId="3" fontId="87" fillId="4" borderId="1" xfId="0" applyNumberFormat="1" applyFont="1" applyFill="1" applyBorder="1" applyAlignment="1" applyProtection="1">
      <alignment horizontal="center"/>
    </xf>
    <xf numFmtId="0" fontId="6" fillId="5" borderId="1" xfId="0" applyFont="1" applyFill="1" applyBorder="1" applyProtection="1"/>
    <xf numFmtId="0" fontId="84" fillId="3" borderId="1" xfId="0" applyFont="1" applyFill="1" applyBorder="1" applyProtection="1"/>
    <xf numFmtId="167" fontId="87" fillId="4" borderId="14" xfId="0" applyNumberFormat="1" applyFont="1" applyFill="1" applyBorder="1" applyAlignment="1" applyProtection="1">
      <alignment horizontal="center"/>
    </xf>
    <xf numFmtId="0" fontId="85" fillId="2" borderId="0" xfId="0" applyFont="1" applyFill="1" applyBorder="1" applyProtection="1"/>
    <xf numFmtId="0" fontId="89" fillId="3" borderId="1" xfId="0" applyFont="1" applyFill="1" applyBorder="1" applyAlignment="1" applyProtection="1">
      <alignment horizontal="center"/>
    </xf>
    <xf numFmtId="0" fontId="87" fillId="4" borderId="14" xfId="0" applyFont="1" applyFill="1" applyBorder="1" applyAlignment="1" applyProtection="1">
      <alignment horizontal="center"/>
    </xf>
    <xf numFmtId="0" fontId="89" fillId="2" borderId="0" xfId="0" applyFont="1" applyFill="1" applyBorder="1" applyAlignment="1" applyProtection="1">
      <alignment horizontal="right"/>
    </xf>
    <xf numFmtId="0" fontId="88" fillId="2" borderId="0" xfId="0" applyFont="1" applyFill="1" applyBorder="1" applyProtection="1"/>
    <xf numFmtId="166" fontId="6" fillId="5" borderId="1" xfId="0" applyNumberFormat="1" applyFont="1" applyFill="1" applyBorder="1" applyAlignment="1" applyProtection="1"/>
    <xf numFmtId="0" fontId="11" fillId="3" borderId="18" xfId="0" applyFont="1" applyFill="1" applyBorder="1" applyAlignment="1" applyProtection="1"/>
    <xf numFmtId="0" fontId="88" fillId="3" borderId="1" xfId="0" applyFont="1" applyFill="1" applyBorder="1" applyProtection="1"/>
    <xf numFmtId="0" fontId="86" fillId="2" borderId="0" xfId="0" applyNumberFormat="1" applyFont="1" applyFill="1" applyBorder="1" applyAlignment="1" applyProtection="1">
      <alignment horizontal="center"/>
    </xf>
    <xf numFmtId="0" fontId="88" fillId="2" borderId="0" xfId="0" applyFont="1" applyFill="1" applyBorder="1" applyAlignment="1" applyProtection="1"/>
    <xf numFmtId="0" fontId="86" fillId="2" borderId="0" xfId="0" applyFont="1" applyFill="1" applyBorder="1" applyAlignment="1" applyProtection="1">
      <alignment horizontal="center"/>
    </xf>
    <xf numFmtId="0" fontId="86" fillId="3" borderId="1" xfId="0" applyFont="1" applyFill="1" applyBorder="1" applyAlignment="1" applyProtection="1">
      <alignment horizontal="center"/>
    </xf>
    <xf numFmtId="0" fontId="84" fillId="3" borderId="1" xfId="0" applyFont="1" applyFill="1" applyBorder="1" applyAlignment="1" applyProtection="1">
      <alignment horizontal="left"/>
    </xf>
    <xf numFmtId="0" fontId="89" fillId="2" borderId="0" xfId="0" applyFont="1" applyFill="1" applyBorder="1" applyAlignment="1" applyProtection="1">
      <alignment horizontal="center"/>
    </xf>
    <xf numFmtId="0" fontId="90" fillId="2" borderId="0" xfId="0" applyFont="1" applyFill="1" applyBorder="1" applyProtection="1"/>
    <xf numFmtId="0" fontId="7" fillId="3" borderId="14" xfId="0" applyFont="1" applyFill="1" applyBorder="1" applyProtection="1"/>
    <xf numFmtId="164" fontId="43" fillId="3" borderId="18" xfId="0" applyNumberFormat="1" applyFont="1" applyFill="1" applyBorder="1" applyAlignment="1" applyProtection="1"/>
    <xf numFmtId="0" fontId="84" fillId="3" borderId="9" xfId="0" applyFont="1" applyFill="1" applyBorder="1" applyProtection="1"/>
    <xf numFmtId="0" fontId="88" fillId="3" borderId="9" xfId="0" applyFont="1" applyFill="1" applyBorder="1" applyProtection="1"/>
    <xf numFmtId="0" fontId="88" fillId="3" borderId="9" xfId="0" applyFont="1" applyFill="1" applyBorder="1" applyAlignment="1" applyProtection="1"/>
    <xf numFmtId="0" fontId="88" fillId="3" borderId="0" xfId="0" applyFont="1" applyFill="1" applyBorder="1" applyProtection="1"/>
    <xf numFmtId="0" fontId="38" fillId="2" borderId="0" xfId="0" applyFont="1" applyFill="1" applyBorder="1" applyAlignment="1" applyProtection="1">
      <alignment horizontal="right"/>
    </xf>
    <xf numFmtId="0" fontId="88" fillId="2" borderId="0" xfId="0" applyFont="1" applyFill="1" applyBorder="1" applyAlignment="1" applyProtection="1">
      <alignment horizontal="center"/>
    </xf>
    <xf numFmtId="0" fontId="37" fillId="2" borderId="0" xfId="0" applyFont="1" applyFill="1" applyBorder="1" applyAlignment="1" applyProtection="1">
      <alignment horizontal="right"/>
    </xf>
    <xf numFmtId="1" fontId="39" fillId="2" borderId="0" xfId="0" applyNumberFormat="1" applyFont="1" applyFill="1" applyBorder="1" applyAlignment="1" applyProtection="1">
      <alignment horizontal="center"/>
    </xf>
    <xf numFmtId="0" fontId="89" fillId="2" borderId="0" xfId="0" applyFont="1" applyFill="1" applyBorder="1" applyAlignment="1" applyProtection="1">
      <alignment horizontal="left"/>
    </xf>
    <xf numFmtId="0" fontId="89" fillId="2" borderId="0" xfId="0" applyNumberFormat="1" applyFont="1" applyFill="1" applyBorder="1" applyAlignment="1" applyProtection="1">
      <alignment horizontal="center"/>
    </xf>
    <xf numFmtId="1" fontId="89" fillId="2" borderId="0" xfId="0" quotePrefix="1" applyNumberFormat="1" applyFont="1" applyFill="1" applyBorder="1" applyAlignment="1" applyProtection="1">
      <alignment horizontal="center"/>
    </xf>
    <xf numFmtId="1" fontId="89" fillId="2" borderId="0" xfId="0" applyNumberFormat="1" applyFont="1" applyFill="1" applyBorder="1" applyAlignment="1" applyProtection="1">
      <alignment horizontal="center"/>
    </xf>
    <xf numFmtId="0" fontId="88" fillId="3" borderId="1" xfId="0" applyFont="1" applyFill="1" applyBorder="1" applyAlignment="1" applyProtection="1">
      <alignment horizontal="left"/>
    </xf>
    <xf numFmtId="0" fontId="90" fillId="2" borderId="0" xfId="0" applyFont="1" applyFill="1" applyBorder="1" applyAlignment="1" applyProtection="1">
      <alignment horizontal="left"/>
    </xf>
    <xf numFmtId="1" fontId="89" fillId="3" borderId="1" xfId="0" applyNumberFormat="1" applyFont="1" applyFill="1" applyBorder="1" applyAlignment="1" applyProtection="1">
      <alignment horizontal="center"/>
    </xf>
    <xf numFmtId="164" fontId="89" fillId="3" borderId="1" xfId="0" applyNumberFormat="1" applyFont="1" applyFill="1" applyBorder="1" applyAlignment="1" applyProtection="1">
      <alignment horizontal="center"/>
    </xf>
    <xf numFmtId="182" fontId="89" fillId="3" borderId="1" xfId="0" applyNumberFormat="1" applyFont="1" applyFill="1" applyBorder="1" applyAlignment="1" applyProtection="1">
      <alignment horizontal="center"/>
    </xf>
    <xf numFmtId="0" fontId="87" fillId="3" borderId="14" xfId="0" applyFont="1" applyFill="1" applyBorder="1" applyAlignment="1" applyProtection="1">
      <alignment horizontal="center"/>
    </xf>
    <xf numFmtId="0" fontId="6" fillId="2" borderId="1" xfId="0" applyNumberFormat="1" applyFont="1" applyFill="1" applyBorder="1" applyProtection="1">
      <protection locked="0"/>
    </xf>
    <xf numFmtId="0" fontId="6" fillId="0" borderId="0" xfId="0" applyFont="1" applyFill="1" applyBorder="1" applyProtection="1"/>
    <xf numFmtId="0" fontId="36" fillId="2" borderId="0" xfId="0" applyFont="1" applyFill="1" applyBorder="1" applyProtection="1"/>
    <xf numFmtId="0" fontId="6" fillId="8" borderId="0" xfId="0" applyFont="1" applyFill="1" applyBorder="1" applyProtection="1"/>
    <xf numFmtId="1" fontId="0" fillId="8" borderId="0" xfId="0" applyNumberFormat="1" applyFill="1" applyAlignment="1" applyProtection="1">
      <alignment horizontal="left"/>
    </xf>
    <xf numFmtId="42" fontId="41" fillId="4" borderId="1" xfId="0" applyNumberFormat="1" applyFont="1" applyFill="1" applyBorder="1" applyAlignment="1" applyProtection="1">
      <alignment horizontal="center"/>
    </xf>
    <xf numFmtId="0" fontId="7" fillId="8" borderId="0" xfId="0" applyFont="1" applyFill="1" applyBorder="1" applyAlignment="1" applyProtection="1">
      <alignment horizontal="left"/>
    </xf>
    <xf numFmtId="0" fontId="13" fillId="8" borderId="0" xfId="0" applyFont="1" applyFill="1" applyBorder="1" applyAlignment="1" applyProtection="1">
      <alignment horizontal="left"/>
    </xf>
    <xf numFmtId="0" fontId="39" fillId="8" borderId="0" xfId="0" applyFont="1" applyFill="1" applyBorder="1" applyAlignment="1" applyProtection="1">
      <alignment horizontal="center"/>
    </xf>
    <xf numFmtId="0" fontId="39" fillId="8" borderId="0" xfId="0" applyFont="1" applyFill="1" applyBorder="1" applyAlignment="1" applyProtection="1"/>
    <xf numFmtId="1" fontId="93" fillId="6" borderId="21" xfId="0" applyNumberFormat="1" applyFont="1" applyFill="1" applyBorder="1" applyAlignment="1" applyProtection="1">
      <alignment horizontal="center"/>
    </xf>
    <xf numFmtId="0" fontId="39" fillId="8" borderId="21" xfId="0" applyFont="1" applyFill="1" applyBorder="1" applyAlignment="1" applyProtection="1">
      <alignment horizontal="center"/>
    </xf>
    <xf numFmtId="42" fontId="93" fillId="6" borderId="21" xfId="0" applyNumberFormat="1" applyFont="1" applyFill="1" applyBorder="1" applyAlignment="1" applyProtection="1">
      <alignment horizontal="center"/>
    </xf>
    <xf numFmtId="0" fontId="94" fillId="2" borderId="7" xfId="1" applyFont="1" applyFill="1" applyBorder="1" applyAlignment="1" applyProtection="1">
      <alignment horizontal="right"/>
    </xf>
    <xf numFmtId="0" fontId="42" fillId="9" borderId="0" xfId="0" applyFont="1" applyFill="1" applyBorder="1" applyAlignment="1" applyProtection="1">
      <alignment horizontal="center"/>
    </xf>
    <xf numFmtId="0" fontId="42" fillId="9" borderId="0" xfId="0" applyFont="1" applyFill="1" applyBorder="1" applyProtection="1"/>
    <xf numFmtId="0" fontId="85" fillId="9" borderId="0" xfId="0" applyFont="1" applyFill="1" applyBorder="1" applyProtection="1"/>
    <xf numFmtId="44" fontId="43" fillId="4" borderId="1" xfId="0" applyNumberFormat="1" applyFont="1" applyFill="1" applyBorder="1" applyAlignment="1" applyProtection="1"/>
    <xf numFmtId="164" fontId="91" fillId="10" borderId="1" xfId="0" applyNumberFormat="1" applyFont="1" applyFill="1" applyBorder="1" applyAlignment="1" applyProtection="1">
      <alignment horizontal="center"/>
    </xf>
    <xf numFmtId="0" fontId="6" fillId="9" borderId="0" xfId="0" applyFont="1" applyFill="1" applyProtection="1"/>
    <xf numFmtId="0" fontId="6" fillId="9" borderId="1" xfId="0" applyFont="1" applyFill="1" applyBorder="1" applyProtection="1"/>
    <xf numFmtId="164" fontId="91" fillId="9" borderId="1" xfId="0" applyNumberFormat="1" applyFont="1" applyFill="1" applyBorder="1" applyAlignment="1" applyProtection="1">
      <alignment horizontal="center"/>
    </xf>
    <xf numFmtId="0" fontId="15" fillId="9" borderId="1" xfId="0" applyFont="1" applyFill="1" applyBorder="1" applyProtection="1"/>
    <xf numFmtId="0" fontId="37" fillId="3" borderId="1" xfId="0" applyFont="1" applyFill="1" applyBorder="1" applyAlignment="1" applyProtection="1">
      <alignment horizontal="center"/>
    </xf>
    <xf numFmtId="183" fontId="93" fillId="6" borderId="21" xfId="0" applyNumberFormat="1" applyFont="1" applyFill="1" applyBorder="1" applyAlignment="1" applyProtection="1">
      <alignment horizontal="center"/>
    </xf>
    <xf numFmtId="0" fontId="6" fillId="11" borderId="0" xfId="0" applyFont="1" applyFill="1" applyBorder="1" applyAlignment="1" applyProtection="1">
      <alignment horizontal="center"/>
    </xf>
    <xf numFmtId="0" fontId="6" fillId="9" borderId="1" xfId="0" applyFont="1" applyFill="1" applyBorder="1" applyAlignment="1" applyProtection="1">
      <alignment horizontal="center"/>
    </xf>
    <xf numFmtId="164" fontId="6" fillId="9" borderId="1" xfId="0" applyNumberFormat="1" applyFont="1" applyFill="1" applyBorder="1" applyAlignment="1" applyProtection="1">
      <alignment horizontal="center"/>
    </xf>
    <xf numFmtId="0" fontId="6" fillId="3" borderId="12" xfId="0" applyFont="1" applyFill="1" applyBorder="1" applyProtection="1"/>
    <xf numFmtId="0" fontId="6" fillId="12" borderId="0" xfId="0" applyFont="1" applyFill="1" applyBorder="1" applyProtection="1"/>
    <xf numFmtId="0" fontId="6" fillId="12" borderId="0" xfId="0" applyFont="1" applyFill="1" applyBorder="1" applyAlignment="1" applyProtection="1"/>
    <xf numFmtId="184" fontId="6" fillId="12" borderId="0" xfId="0" applyNumberFormat="1" applyFont="1" applyFill="1" applyBorder="1" applyAlignment="1" applyProtection="1">
      <alignment horizontal="center"/>
    </xf>
    <xf numFmtId="184" fontId="6" fillId="12" borderId="0" xfId="0" applyNumberFormat="1" applyFont="1" applyFill="1" applyBorder="1" applyProtection="1"/>
    <xf numFmtId="0" fontId="6" fillId="11" borderId="27" xfId="0" applyFont="1" applyFill="1" applyBorder="1" applyProtection="1"/>
    <xf numFmtId="0" fontId="6" fillId="11" borderId="27" xfId="0" applyFont="1" applyFill="1" applyBorder="1" applyAlignment="1" applyProtection="1"/>
    <xf numFmtId="184" fontId="6" fillId="11" borderId="27" xfId="0" applyNumberFormat="1" applyFont="1" applyFill="1" applyBorder="1" applyAlignment="1" applyProtection="1">
      <alignment horizontal="center"/>
    </xf>
    <xf numFmtId="184" fontId="6" fillId="11" borderId="27" xfId="0" applyNumberFormat="1" applyFont="1" applyFill="1" applyBorder="1" applyProtection="1"/>
    <xf numFmtId="0" fontId="6" fillId="11" borderId="28" xfId="0" applyFont="1" applyFill="1" applyBorder="1" applyProtection="1"/>
    <xf numFmtId="0" fontId="6" fillId="11" borderId="5" xfId="0" applyFont="1" applyFill="1" applyBorder="1" applyProtection="1"/>
    <xf numFmtId="0" fontId="6" fillId="11" borderId="0" xfId="0" applyFont="1" applyFill="1" applyBorder="1" applyProtection="1"/>
    <xf numFmtId="0" fontId="6" fillId="11" borderId="0" xfId="0" applyFont="1" applyFill="1" applyBorder="1" applyAlignment="1" applyProtection="1"/>
    <xf numFmtId="184" fontId="6" fillId="11" borderId="0" xfId="0" applyNumberFormat="1" applyFont="1" applyFill="1" applyBorder="1" applyAlignment="1" applyProtection="1">
      <alignment horizontal="center"/>
    </xf>
    <xf numFmtId="184" fontId="6" fillId="11" borderId="0" xfId="0" applyNumberFormat="1" applyFont="1" applyFill="1" applyBorder="1" applyProtection="1"/>
    <xf numFmtId="0" fontId="23" fillId="11" borderId="5" xfId="0" applyFont="1" applyFill="1" applyBorder="1" applyProtection="1"/>
    <xf numFmtId="0" fontId="95" fillId="11" borderId="0" xfId="0" applyFont="1" applyFill="1" applyBorder="1" applyProtection="1"/>
    <xf numFmtId="0" fontId="26" fillId="11" borderId="0" xfId="0" applyFont="1" applyFill="1" applyBorder="1" applyAlignment="1" applyProtection="1"/>
    <xf numFmtId="0" fontId="26" fillId="11" borderId="0" xfId="0" applyFont="1" applyFill="1" applyBorder="1" applyProtection="1"/>
    <xf numFmtId="184" fontId="26" fillId="11" borderId="0" xfId="0" applyNumberFormat="1" applyFont="1" applyFill="1" applyBorder="1" applyAlignment="1" applyProtection="1">
      <alignment horizontal="center"/>
    </xf>
    <xf numFmtId="184" fontId="16" fillId="11" borderId="0" xfId="0" applyNumberFormat="1" applyFont="1" applyFill="1" applyBorder="1" applyProtection="1"/>
    <xf numFmtId="0" fontId="26" fillId="12" borderId="0" xfId="0" applyFont="1" applyFill="1" applyBorder="1" applyProtection="1"/>
    <xf numFmtId="0" fontId="16" fillId="11" borderId="0" xfId="0" applyFont="1" applyFill="1" applyBorder="1" applyProtection="1"/>
    <xf numFmtId="0" fontId="13" fillId="11" borderId="0" xfId="0" applyFont="1" applyFill="1" applyBorder="1" applyAlignment="1" applyProtection="1">
      <alignment horizontal="center"/>
    </xf>
    <xf numFmtId="0" fontId="13" fillId="11" borderId="5" xfId="0" applyFont="1" applyFill="1" applyBorder="1" applyProtection="1"/>
    <xf numFmtId="0" fontId="7" fillId="11" borderId="5" xfId="0" applyFont="1" applyFill="1" applyBorder="1" applyProtection="1"/>
    <xf numFmtId="184" fontId="6" fillId="11" borderId="5" xfId="0" applyNumberFormat="1" applyFont="1" applyFill="1" applyBorder="1" applyProtection="1"/>
    <xf numFmtId="0" fontId="6" fillId="11" borderId="0" xfId="0" applyNumberFormat="1" applyFont="1" applyFill="1" applyBorder="1" applyAlignment="1" applyProtection="1">
      <alignment horizontal="center"/>
    </xf>
    <xf numFmtId="0" fontId="6" fillId="11" borderId="17" xfId="0" applyFont="1" applyFill="1" applyBorder="1" applyProtection="1"/>
    <xf numFmtId="0" fontId="6" fillId="11" borderId="26" xfId="0" applyFont="1" applyFill="1" applyBorder="1" applyProtection="1"/>
    <xf numFmtId="1" fontId="96" fillId="11" borderId="0" xfId="0" applyNumberFormat="1" applyFont="1" applyFill="1" applyBorder="1" applyAlignment="1" applyProtection="1">
      <alignment horizontal="center"/>
    </xf>
    <xf numFmtId="42" fontId="6" fillId="5" borderId="1" xfId="0" applyNumberFormat="1" applyFont="1" applyFill="1" applyBorder="1" applyProtection="1"/>
    <xf numFmtId="42" fontId="6" fillId="5" borderId="1" xfId="3" applyNumberFormat="1" applyFont="1" applyFill="1" applyBorder="1" applyAlignment="1" applyProtection="1">
      <alignment horizontal="left"/>
    </xf>
    <xf numFmtId="42" fontId="6" fillId="5" borderId="1" xfId="0" applyNumberFormat="1" applyFont="1" applyFill="1" applyBorder="1" applyAlignment="1" applyProtection="1">
      <alignment horizontal="left"/>
    </xf>
    <xf numFmtId="186" fontId="6" fillId="7" borderId="1" xfId="0" applyNumberFormat="1" applyFont="1" applyFill="1" applyBorder="1" applyAlignment="1" applyProtection="1">
      <alignment horizontal="center"/>
    </xf>
    <xf numFmtId="186" fontId="6" fillId="5" borderId="1" xfId="0" applyNumberFormat="1" applyFont="1" applyFill="1" applyBorder="1" applyAlignment="1" applyProtection="1">
      <alignment horizontal="center"/>
    </xf>
    <xf numFmtId="0" fontId="103" fillId="0" borderId="0" xfId="0" applyFont="1"/>
    <xf numFmtId="0" fontId="18" fillId="11" borderId="0" xfId="0" applyFont="1" applyFill="1" applyAlignment="1">
      <alignment wrapText="1"/>
    </xf>
    <xf numFmtId="0" fontId="6" fillId="12" borderId="0" xfId="0" applyFont="1" applyFill="1" applyBorder="1"/>
    <xf numFmtId="0" fontId="6" fillId="11" borderId="26" xfId="0" applyFont="1" applyFill="1" applyBorder="1"/>
    <xf numFmtId="0" fontId="6" fillId="11" borderId="27" xfId="0" applyFont="1" applyFill="1" applyBorder="1"/>
    <xf numFmtId="0" fontId="6" fillId="11" borderId="28" xfId="0" applyFont="1" applyFill="1" applyBorder="1"/>
    <xf numFmtId="0" fontId="6" fillId="11" borderId="5" xfId="0" applyFont="1" applyFill="1" applyBorder="1"/>
    <xf numFmtId="0" fontId="6" fillId="11" borderId="0" xfId="0" applyFont="1" applyFill="1" applyBorder="1"/>
    <xf numFmtId="0" fontId="6" fillId="11" borderId="6" xfId="0" applyFont="1" applyFill="1" applyBorder="1"/>
    <xf numFmtId="0" fontId="23" fillId="11" borderId="5" xfId="0" applyFont="1" applyFill="1" applyBorder="1"/>
    <xf numFmtId="0" fontId="95" fillId="11" borderId="0" xfId="0" applyFont="1" applyFill="1" applyBorder="1"/>
    <xf numFmtId="0" fontId="25" fillId="11" borderId="0" xfId="0" applyFont="1" applyFill="1" applyBorder="1"/>
    <xf numFmtId="0" fontId="25" fillId="11" borderId="6" xfId="0" applyFont="1" applyFill="1" applyBorder="1"/>
    <xf numFmtId="0" fontId="25" fillId="12" borderId="0" xfId="0" applyFont="1" applyFill="1" applyBorder="1"/>
    <xf numFmtId="0" fontId="16" fillId="11" borderId="0" xfId="0" applyFont="1" applyFill="1" applyBorder="1"/>
    <xf numFmtId="0" fontId="6" fillId="11" borderId="17" xfId="0" applyFont="1" applyFill="1" applyBorder="1"/>
    <xf numFmtId="0" fontId="6" fillId="11" borderId="30" xfId="0" applyFont="1" applyFill="1" applyBorder="1"/>
    <xf numFmtId="0" fontId="6" fillId="11" borderId="31" xfId="0" applyFont="1" applyFill="1" applyBorder="1"/>
    <xf numFmtId="0" fontId="32" fillId="12" borderId="0" xfId="0" applyFont="1" applyFill="1" applyBorder="1"/>
    <xf numFmtId="0" fontId="42" fillId="9" borderId="19" xfId="0" applyFont="1" applyFill="1" applyBorder="1" applyAlignment="1" applyProtection="1">
      <alignment horizontal="center"/>
    </xf>
    <xf numFmtId="0" fontId="42" fillId="9" borderId="19" xfId="0" applyFont="1" applyFill="1" applyBorder="1" applyProtection="1"/>
    <xf numFmtId="0" fontId="103" fillId="3" borderId="0" xfId="0" applyFont="1" applyFill="1" applyBorder="1" applyProtection="1"/>
    <xf numFmtId="0" fontId="103" fillId="3" borderId="9" xfId="0" applyFont="1" applyFill="1" applyBorder="1" applyProtection="1"/>
    <xf numFmtId="49" fontId="104" fillId="2" borderId="0" xfId="0" applyNumberFormat="1" applyFont="1" applyFill="1" applyBorder="1" applyAlignment="1" applyProtection="1">
      <alignment horizontal="center"/>
    </xf>
    <xf numFmtId="1" fontId="104" fillId="2" borderId="0" xfId="0" applyNumberFormat="1" applyFont="1" applyFill="1" applyBorder="1" applyAlignment="1" applyProtection="1">
      <alignment horizontal="center"/>
    </xf>
    <xf numFmtId="0" fontId="103" fillId="2" borderId="0" xfId="0" applyFont="1" applyFill="1" applyBorder="1" applyAlignment="1" applyProtection="1">
      <alignment horizontal="center"/>
    </xf>
    <xf numFmtId="0" fontId="42" fillId="2" borderId="30" xfId="0" applyFont="1" applyFill="1" applyBorder="1" applyProtection="1"/>
    <xf numFmtId="0" fontId="42" fillId="2" borderId="30" xfId="0" applyFont="1" applyFill="1" applyBorder="1" applyAlignment="1" applyProtection="1">
      <alignment horizontal="center"/>
    </xf>
    <xf numFmtId="0" fontId="6" fillId="2" borderId="30" xfId="0" applyFont="1" applyFill="1" applyBorder="1" applyProtection="1"/>
    <xf numFmtId="0" fontId="6" fillId="2" borderId="30" xfId="0" applyFont="1" applyFill="1" applyBorder="1" applyAlignment="1" applyProtection="1">
      <alignment horizontal="center"/>
    </xf>
    <xf numFmtId="0" fontId="6" fillId="3" borderId="33" xfId="0" applyFont="1" applyFill="1" applyBorder="1" applyProtection="1"/>
    <xf numFmtId="0" fontId="6" fillId="3" borderId="19" xfId="0" applyFont="1" applyFill="1" applyBorder="1" applyProtection="1"/>
    <xf numFmtId="0" fontId="105" fillId="0" borderId="0" xfId="0" applyFont="1" applyFill="1" applyBorder="1" applyAlignment="1" applyProtection="1">
      <alignment horizontal="left"/>
    </xf>
    <xf numFmtId="167" fontId="92" fillId="7" borderId="0" xfId="0" applyNumberFormat="1" applyFont="1" applyFill="1" applyBorder="1" applyAlignment="1" applyProtection="1">
      <alignment horizontal="left"/>
      <protection locked="0"/>
    </xf>
    <xf numFmtId="0" fontId="6" fillId="9" borderId="0" xfId="0" applyFont="1" applyFill="1" applyBorder="1" applyProtection="1"/>
    <xf numFmtId="0" fontId="6" fillId="9" borderId="0" xfId="0" applyFont="1" applyFill="1" applyBorder="1" applyAlignment="1" applyProtection="1"/>
    <xf numFmtId="184" fontId="6" fillId="9" borderId="0" xfId="0" applyNumberFormat="1" applyFont="1" applyFill="1" applyBorder="1" applyAlignment="1" applyProtection="1">
      <alignment horizontal="center"/>
    </xf>
    <xf numFmtId="184" fontId="6" fillId="9" borderId="0" xfId="0" applyNumberFormat="1" applyFont="1" applyFill="1" applyBorder="1" applyProtection="1"/>
    <xf numFmtId="0" fontId="26" fillId="9" borderId="0" xfId="0" applyFont="1" applyFill="1" applyBorder="1" applyProtection="1"/>
    <xf numFmtId="0" fontId="1" fillId="9" borderId="0" xfId="0" applyFont="1" applyFill="1" applyBorder="1" applyProtection="1"/>
    <xf numFmtId="0" fontId="6" fillId="8" borderId="21" xfId="0" applyFont="1" applyFill="1" applyBorder="1" applyProtection="1"/>
    <xf numFmtId="0" fontId="6" fillId="8" borderId="21" xfId="0" applyFont="1" applyFill="1" applyBorder="1" applyAlignment="1" applyProtection="1">
      <alignment horizontal="center"/>
    </xf>
    <xf numFmtId="0" fontId="97" fillId="8" borderId="21" xfId="0" applyFont="1" applyFill="1" applyBorder="1" applyProtection="1"/>
    <xf numFmtId="0" fontId="98" fillId="8" borderId="21" xfId="0" applyFont="1" applyFill="1" applyBorder="1" applyProtection="1"/>
    <xf numFmtId="184" fontId="6" fillId="7" borderId="21" xfId="0" applyNumberFormat="1" applyFont="1" applyFill="1" applyBorder="1" applyAlignment="1" applyProtection="1">
      <alignment horizontal="center"/>
    </xf>
    <xf numFmtId="0" fontId="7" fillId="8" borderId="21" xfId="0" applyFont="1" applyFill="1" applyBorder="1" applyAlignment="1" applyProtection="1">
      <alignment horizontal="left"/>
    </xf>
    <xf numFmtId="184" fontId="99" fillId="6" borderId="21" xfId="0" applyNumberFormat="1" applyFont="1" applyFill="1" applyBorder="1" applyAlignment="1" applyProtection="1">
      <alignment horizontal="center"/>
    </xf>
    <xf numFmtId="0" fontId="15" fillId="8" borderId="21" xfId="0" applyFont="1" applyFill="1" applyBorder="1" applyProtection="1"/>
    <xf numFmtId="0" fontId="100" fillId="8" borderId="21" xfId="0" applyFont="1" applyFill="1" applyBorder="1" applyAlignment="1" applyProtection="1">
      <alignment horizontal="left"/>
    </xf>
    <xf numFmtId="0" fontId="100" fillId="8" borderId="21" xfId="0" applyFont="1" applyFill="1" applyBorder="1" applyProtection="1"/>
    <xf numFmtId="0" fontId="7" fillId="8" borderId="21" xfId="0" applyFont="1" applyFill="1" applyBorder="1" applyProtection="1"/>
    <xf numFmtId="184" fontId="6" fillId="8" borderId="21" xfId="0" applyNumberFormat="1" applyFont="1" applyFill="1" applyBorder="1" applyAlignment="1" applyProtection="1">
      <alignment horizontal="center"/>
    </xf>
    <xf numFmtId="184" fontId="7" fillId="8" borderId="21" xfId="0" applyNumberFormat="1" applyFont="1" applyFill="1" applyBorder="1" applyAlignment="1" applyProtection="1">
      <alignment horizontal="center"/>
    </xf>
    <xf numFmtId="0" fontId="98" fillId="8" borderId="21" xfId="0" applyFont="1" applyFill="1" applyBorder="1" applyAlignment="1" applyProtection="1">
      <alignment horizontal="left"/>
    </xf>
    <xf numFmtId="0" fontId="6" fillId="8" borderId="21" xfId="0" applyFont="1" applyFill="1" applyBorder="1" applyAlignment="1" applyProtection="1">
      <alignment horizontal="left"/>
    </xf>
    <xf numFmtId="0" fontId="96" fillId="8" borderId="21" xfId="0" applyFont="1" applyFill="1" applyBorder="1" applyAlignment="1" applyProtection="1"/>
    <xf numFmtId="184" fontId="6" fillId="8" borderId="21" xfId="0" applyNumberFormat="1" applyFont="1" applyFill="1" applyBorder="1" applyProtection="1"/>
    <xf numFmtId="0" fontId="6" fillId="8" borderId="21" xfId="0" applyFont="1" applyFill="1" applyBorder="1" applyAlignment="1" applyProtection="1"/>
    <xf numFmtId="9" fontId="6" fillId="7" borderId="21" xfId="0" applyNumberFormat="1" applyFont="1" applyFill="1" applyBorder="1" applyAlignment="1" applyProtection="1">
      <alignment horizontal="center"/>
    </xf>
    <xf numFmtId="0" fontId="6" fillId="8" borderId="21" xfId="0" applyNumberFormat="1" applyFont="1" applyFill="1" applyBorder="1" applyAlignment="1" applyProtection="1">
      <alignment horizontal="left"/>
    </xf>
    <xf numFmtId="9" fontId="6" fillId="8" borderId="21" xfId="0" applyNumberFormat="1" applyFont="1" applyFill="1" applyBorder="1" applyAlignment="1" applyProtection="1">
      <alignment horizontal="center"/>
    </xf>
    <xf numFmtId="0" fontId="98" fillId="8" borderId="21" xfId="0" applyFont="1" applyFill="1" applyBorder="1" applyAlignment="1" applyProtection="1"/>
    <xf numFmtId="184" fontId="41" fillId="8" borderId="21" xfId="0" applyNumberFormat="1" applyFont="1" applyFill="1" applyBorder="1" applyAlignment="1" applyProtection="1">
      <alignment horizontal="center"/>
    </xf>
    <xf numFmtId="185" fontId="6" fillId="8" borderId="21" xfId="0" applyNumberFormat="1" applyFont="1" applyFill="1" applyBorder="1" applyProtection="1"/>
    <xf numFmtId="0" fontId="6" fillId="8" borderId="21" xfId="0" applyNumberFormat="1" applyFont="1" applyFill="1" applyBorder="1" applyAlignment="1" applyProtection="1"/>
    <xf numFmtId="170" fontId="6" fillId="7" borderId="21" xfId="0" applyNumberFormat="1" applyFont="1" applyFill="1" applyBorder="1" applyAlignment="1" applyProtection="1">
      <alignment horizontal="center"/>
    </xf>
    <xf numFmtId="2" fontId="99" fillId="6" borderId="21" xfId="0" applyNumberFormat="1" applyFont="1" applyFill="1" applyBorder="1" applyAlignment="1" applyProtection="1">
      <alignment horizontal="center"/>
    </xf>
    <xf numFmtId="0" fontId="7" fillId="8" borderId="21" xfId="0" applyNumberFormat="1" applyFont="1" applyFill="1" applyBorder="1" applyAlignment="1" applyProtection="1">
      <alignment horizontal="left"/>
    </xf>
    <xf numFmtId="183" fontId="99" fillId="6" borderId="21" xfId="0" applyNumberFormat="1" applyFont="1" applyFill="1" applyBorder="1" applyAlignment="1" applyProtection="1">
      <alignment horizontal="center"/>
    </xf>
    <xf numFmtId="10" fontId="99" fillId="6" borderId="21" xfId="0" applyNumberFormat="1" applyFont="1" applyFill="1" applyBorder="1" applyAlignment="1" applyProtection="1">
      <alignment horizontal="center"/>
    </xf>
    <xf numFmtId="0" fontId="98" fillId="8" borderId="21" xfId="0" applyNumberFormat="1" applyFont="1" applyFill="1" applyBorder="1" applyAlignment="1" applyProtection="1"/>
    <xf numFmtId="185" fontId="6" fillId="8" borderId="21" xfId="0" applyNumberFormat="1" applyFont="1" applyFill="1" applyBorder="1" applyAlignment="1" applyProtection="1">
      <alignment horizontal="center"/>
    </xf>
    <xf numFmtId="184" fontId="98" fillId="8" borderId="21" xfId="0" applyNumberFormat="1" applyFont="1" applyFill="1" applyBorder="1" applyAlignment="1" applyProtection="1"/>
    <xf numFmtId="184" fontId="6" fillId="8" borderId="21" xfId="0" applyNumberFormat="1" applyFont="1" applyFill="1" applyBorder="1" applyAlignment="1" applyProtection="1"/>
    <xf numFmtId="184" fontId="6" fillId="7" borderId="21" xfId="0" applyNumberFormat="1" applyFont="1" applyFill="1" applyBorder="1" applyProtection="1"/>
    <xf numFmtId="9" fontId="99" fillId="6" borderId="21" xfId="2" applyFont="1" applyFill="1" applyBorder="1" applyAlignment="1" applyProtection="1">
      <alignment horizontal="center"/>
    </xf>
    <xf numFmtId="0" fontId="13" fillId="8" borderId="21" xfId="0" applyFont="1" applyFill="1" applyBorder="1" applyProtection="1"/>
    <xf numFmtId="0" fontId="15" fillId="8" borderId="21" xfId="0" applyFont="1" applyFill="1" applyBorder="1" applyAlignment="1" applyProtection="1"/>
    <xf numFmtId="2" fontId="6" fillId="7" borderId="21" xfId="0" applyNumberFormat="1" applyFont="1" applyFill="1" applyBorder="1" applyAlignment="1" applyProtection="1">
      <alignment horizontal="center"/>
    </xf>
    <xf numFmtId="2" fontId="6" fillId="8" borderId="21" xfId="0" applyNumberFormat="1" applyFont="1" applyFill="1" applyBorder="1" applyProtection="1"/>
    <xf numFmtId="2" fontId="6" fillId="8" borderId="21" xfId="0" applyNumberFormat="1" applyFont="1" applyFill="1" applyBorder="1" applyAlignment="1" applyProtection="1">
      <alignment horizontal="center"/>
    </xf>
    <xf numFmtId="184" fontId="6" fillId="9" borderId="21" xfId="0" applyNumberFormat="1" applyFont="1" applyFill="1" applyBorder="1" applyProtection="1"/>
    <xf numFmtId="184" fontId="6" fillId="9" borderId="21" xfId="0" applyNumberFormat="1" applyFont="1" applyFill="1" applyBorder="1" applyAlignment="1" applyProtection="1">
      <alignment horizontal="center"/>
    </xf>
    <xf numFmtId="0" fontId="13" fillId="9" borderId="21" xfId="0" applyFont="1" applyFill="1" applyBorder="1" applyProtection="1"/>
    <xf numFmtId="0" fontId="96" fillId="9" borderId="21" xfId="0" applyFont="1" applyFill="1" applyBorder="1" applyAlignment="1" applyProtection="1"/>
    <xf numFmtId="0" fontId="6" fillId="9" borderId="21" xfId="0" applyFont="1" applyFill="1" applyBorder="1" applyProtection="1"/>
    <xf numFmtId="0" fontId="13" fillId="9" borderId="21" xfId="0" applyFont="1" applyFill="1" applyBorder="1" applyAlignment="1" applyProtection="1"/>
    <xf numFmtId="0" fontId="6" fillId="9" borderId="21" xfId="0" applyFont="1" applyFill="1" applyBorder="1" applyAlignment="1" applyProtection="1"/>
    <xf numFmtId="0" fontId="6" fillId="9" borderId="21" xfId="0" applyFont="1" applyFill="1" applyBorder="1" applyAlignment="1" applyProtection="1">
      <alignment horizontal="left"/>
    </xf>
    <xf numFmtId="0" fontId="6" fillId="9" borderId="21" xfId="0" applyNumberFormat="1" applyFont="1" applyFill="1" applyBorder="1" applyAlignment="1" applyProtection="1">
      <alignment horizontal="center"/>
    </xf>
    <xf numFmtId="0" fontId="98" fillId="9" borderId="21" xfId="0" applyFont="1" applyFill="1" applyBorder="1" applyAlignment="1" applyProtection="1">
      <alignment horizontal="left"/>
    </xf>
    <xf numFmtId="0" fontId="96" fillId="9" borderId="21" xfId="0" applyFont="1" applyFill="1" applyBorder="1" applyAlignment="1" applyProtection="1">
      <alignment horizontal="center"/>
    </xf>
    <xf numFmtId="0" fontId="6" fillId="9" borderId="21" xfId="0" applyNumberFormat="1" applyFont="1" applyFill="1" applyBorder="1" applyAlignment="1" applyProtection="1">
      <alignment horizontal="left"/>
    </xf>
    <xf numFmtId="2" fontId="101" fillId="9" borderId="21" xfId="0" applyNumberFormat="1" applyFont="1" applyFill="1" applyBorder="1" applyAlignment="1" applyProtection="1">
      <alignment horizontal="center"/>
    </xf>
    <xf numFmtId="184" fontId="6" fillId="8" borderId="34" xfId="0" applyNumberFormat="1" applyFont="1" applyFill="1" applyBorder="1" applyProtection="1"/>
    <xf numFmtId="184" fontId="6" fillId="8" borderId="34" xfId="0" applyNumberFormat="1" applyFont="1" applyFill="1" applyBorder="1" applyAlignment="1" applyProtection="1"/>
    <xf numFmtId="184" fontId="6" fillId="8" borderId="34" xfId="0" applyNumberFormat="1" applyFont="1" applyFill="1" applyBorder="1" applyAlignment="1" applyProtection="1">
      <alignment horizontal="center"/>
    </xf>
    <xf numFmtId="0" fontId="6" fillId="8" borderId="34" xfId="0" applyFont="1" applyFill="1" applyBorder="1" applyAlignment="1" applyProtection="1">
      <alignment horizontal="center"/>
    </xf>
    <xf numFmtId="0" fontId="6" fillId="8" borderId="34" xfId="0" applyFont="1" applyFill="1" applyBorder="1" applyAlignment="1" applyProtection="1"/>
    <xf numFmtId="0" fontId="6" fillId="8" borderId="34" xfId="0" applyFont="1" applyFill="1" applyBorder="1" applyProtection="1"/>
    <xf numFmtId="2" fontId="6" fillId="8" borderId="34" xfId="0" applyNumberFormat="1" applyFont="1" applyFill="1" applyBorder="1" applyAlignment="1" applyProtection="1">
      <alignment horizontal="center"/>
    </xf>
    <xf numFmtId="0" fontId="6" fillId="9" borderId="34" xfId="0" applyFont="1" applyFill="1" applyBorder="1" applyProtection="1"/>
    <xf numFmtId="0" fontId="6" fillId="9" borderId="34" xfId="0" applyFont="1" applyFill="1" applyBorder="1" applyAlignment="1" applyProtection="1"/>
    <xf numFmtId="0" fontId="6" fillId="9" borderId="34" xfId="0" applyNumberFormat="1" applyFont="1" applyFill="1" applyBorder="1" applyAlignment="1" applyProtection="1">
      <alignment horizontal="center"/>
    </xf>
    <xf numFmtId="184" fontId="6" fillId="9" borderId="34" xfId="0" applyNumberFormat="1" applyFont="1" applyFill="1" applyBorder="1" applyProtection="1"/>
    <xf numFmtId="0" fontId="13" fillId="8" borderId="35" xfId="0" applyFont="1" applyFill="1" applyBorder="1" applyProtection="1"/>
    <xf numFmtId="0" fontId="6" fillId="8" borderId="35" xfId="0" applyFont="1" applyFill="1" applyBorder="1" applyAlignment="1" applyProtection="1"/>
    <xf numFmtId="0" fontId="6" fillId="8" borderId="35" xfId="0" applyFont="1" applyFill="1" applyBorder="1" applyProtection="1"/>
    <xf numFmtId="184" fontId="6" fillId="9" borderId="35" xfId="0" applyNumberFormat="1" applyFont="1" applyFill="1" applyBorder="1" applyProtection="1"/>
    <xf numFmtId="184" fontId="6" fillId="9" borderId="35" xfId="0" applyNumberFormat="1" applyFont="1" applyFill="1" applyBorder="1" applyAlignment="1" applyProtection="1"/>
    <xf numFmtId="184" fontId="6" fillId="9" borderId="35" xfId="0" applyNumberFormat="1" applyFont="1" applyFill="1" applyBorder="1" applyAlignment="1" applyProtection="1">
      <alignment horizontal="center"/>
    </xf>
    <xf numFmtId="0" fontId="6" fillId="9" borderId="35" xfId="0" applyFont="1" applyFill="1" applyBorder="1" applyProtection="1"/>
    <xf numFmtId="0" fontId="6" fillId="9" borderId="35" xfId="0" applyFont="1" applyFill="1" applyBorder="1" applyAlignment="1" applyProtection="1"/>
    <xf numFmtId="0" fontId="6" fillId="9" borderId="35" xfId="0" applyNumberFormat="1" applyFont="1" applyFill="1" applyBorder="1" applyAlignment="1" applyProtection="1">
      <alignment horizontal="center"/>
    </xf>
    <xf numFmtId="0" fontId="6" fillId="11" borderId="36" xfId="0" applyFont="1" applyFill="1" applyBorder="1" applyProtection="1"/>
    <xf numFmtId="0" fontId="6" fillId="11" borderId="38" xfId="0" applyFont="1" applyFill="1" applyBorder="1" applyProtection="1"/>
    <xf numFmtId="184" fontId="6" fillId="11" borderId="37" xfId="0" applyNumberFormat="1" applyFont="1" applyFill="1" applyBorder="1" applyProtection="1"/>
    <xf numFmtId="184" fontId="6" fillId="11" borderId="36" xfId="0" applyNumberFormat="1" applyFont="1" applyFill="1" applyBorder="1" applyProtection="1"/>
    <xf numFmtId="184" fontId="6" fillId="11" borderId="37" xfId="0" applyNumberFormat="1" applyFont="1" applyFill="1" applyBorder="1" applyAlignment="1" applyProtection="1"/>
    <xf numFmtId="184" fontId="6" fillId="11" borderId="37" xfId="0" applyNumberFormat="1" applyFont="1" applyFill="1" applyBorder="1" applyAlignment="1" applyProtection="1">
      <alignment horizontal="center"/>
    </xf>
    <xf numFmtId="184" fontId="6" fillId="11" borderId="38" xfId="0" applyNumberFormat="1" applyFont="1" applyFill="1" applyBorder="1" applyProtection="1"/>
    <xf numFmtId="0" fontId="96" fillId="11" borderId="37" xfId="3" applyNumberFormat="1" applyFont="1" applyFill="1" applyBorder="1" applyAlignment="1" applyProtection="1">
      <alignment horizontal="center"/>
    </xf>
    <xf numFmtId="0" fontId="6" fillId="11" borderId="42" xfId="0" applyFont="1" applyFill="1" applyBorder="1" applyProtection="1"/>
    <xf numFmtId="0" fontId="26" fillId="11" borderId="42" xfId="0" applyFont="1" applyFill="1" applyBorder="1" applyProtection="1"/>
    <xf numFmtId="0" fontId="6" fillId="11" borderId="39" xfId="0" applyFont="1" applyFill="1" applyBorder="1" applyProtection="1"/>
    <xf numFmtId="0" fontId="13" fillId="11" borderId="40" xfId="0" applyFont="1" applyFill="1" applyBorder="1" applyProtection="1"/>
    <xf numFmtId="0" fontId="6" fillId="11" borderId="40" xfId="0" applyFont="1" applyFill="1" applyBorder="1" applyAlignment="1" applyProtection="1"/>
    <xf numFmtId="0" fontId="6" fillId="11" borderId="40" xfId="0" applyFont="1" applyFill="1" applyBorder="1" applyProtection="1"/>
    <xf numFmtId="0" fontId="6" fillId="11" borderId="41" xfId="0" applyFont="1" applyFill="1" applyBorder="1" applyProtection="1"/>
    <xf numFmtId="0" fontId="6" fillId="11" borderId="43" xfId="0" applyFont="1" applyFill="1" applyBorder="1" applyProtection="1"/>
    <xf numFmtId="0" fontId="6" fillId="11" borderId="43" xfId="0" applyFont="1" applyFill="1" applyBorder="1" applyAlignment="1" applyProtection="1"/>
    <xf numFmtId="0" fontId="6" fillId="11" borderId="43" xfId="0" applyNumberFormat="1" applyFont="1" applyFill="1" applyBorder="1" applyAlignment="1" applyProtection="1">
      <alignment horizontal="center"/>
    </xf>
    <xf numFmtId="184" fontId="6" fillId="11" borderId="43" xfId="0" applyNumberFormat="1" applyFont="1" applyFill="1" applyBorder="1" applyProtection="1"/>
    <xf numFmtId="0" fontId="13" fillId="11" borderId="27" xfId="0" applyFont="1" applyFill="1" applyBorder="1" applyProtection="1"/>
    <xf numFmtId="184" fontId="6" fillId="11" borderId="42" xfId="0" applyNumberFormat="1" applyFont="1" applyFill="1" applyBorder="1" applyProtection="1"/>
    <xf numFmtId="0" fontId="6" fillId="11" borderId="7" xfId="0" applyFont="1" applyFill="1" applyBorder="1" applyProtection="1"/>
    <xf numFmtId="0" fontId="6" fillId="11" borderId="7" xfId="0" applyFont="1" applyFill="1" applyBorder="1" applyAlignment="1" applyProtection="1"/>
    <xf numFmtId="184" fontId="6" fillId="11" borderId="7" xfId="0" applyNumberFormat="1" applyFont="1" applyFill="1" applyBorder="1" applyAlignment="1" applyProtection="1">
      <alignment horizontal="center"/>
    </xf>
    <xf numFmtId="184" fontId="6" fillId="11" borderId="7" xfId="0" applyNumberFormat="1" applyFont="1" applyFill="1" applyBorder="1" applyProtection="1"/>
    <xf numFmtId="0" fontId="6" fillId="11" borderId="16" xfId="0" applyFont="1" applyFill="1" applyBorder="1" applyProtection="1"/>
    <xf numFmtId="0" fontId="94" fillId="11" borderId="30" xfId="1" applyFont="1" applyFill="1" applyBorder="1" applyAlignment="1" applyProtection="1">
      <alignment horizontal="right"/>
    </xf>
    <xf numFmtId="0" fontId="106" fillId="2" borderId="0" xfId="0" applyFont="1" applyFill="1" applyBorder="1" applyAlignment="1" applyProtection="1">
      <alignment horizontal="right"/>
    </xf>
    <xf numFmtId="1" fontId="11" fillId="0" borderId="1" xfId="0" applyNumberFormat="1" applyFont="1" applyFill="1" applyBorder="1" applyAlignment="1" applyProtection="1">
      <alignment horizontal="center"/>
      <protection locked="0"/>
    </xf>
    <xf numFmtId="0" fontId="0" fillId="8" borderId="0" xfId="0" applyFill="1" applyProtection="1"/>
    <xf numFmtId="0" fontId="5" fillId="0" borderId="23" xfId="0" applyNumberFormat="1" applyFont="1" applyFill="1" applyBorder="1" applyAlignment="1" applyProtection="1">
      <alignment vertical="center"/>
      <protection locked="0"/>
    </xf>
    <xf numFmtId="0" fontId="5" fillId="0" borderId="24" xfId="0" applyNumberFormat="1" applyFont="1" applyFill="1" applyBorder="1" applyAlignment="1" applyProtection="1">
      <alignment vertical="center"/>
      <protection locked="0"/>
    </xf>
    <xf numFmtId="0" fontId="5" fillId="0" borderId="25" xfId="0" applyNumberFormat="1" applyFont="1" applyFill="1" applyBorder="1" applyAlignment="1" applyProtection="1">
      <alignment vertical="center"/>
      <protection locked="0"/>
    </xf>
    <xf numFmtId="186" fontId="6" fillId="0" borderId="1" xfId="0" applyNumberFormat="1" applyFont="1" applyFill="1" applyBorder="1" applyAlignment="1" applyProtection="1">
      <alignment horizontal="center"/>
      <protection locked="0"/>
    </xf>
    <xf numFmtId="0" fontId="6" fillId="9" borderId="0" xfId="0" applyFont="1" applyFill="1" applyBorder="1" applyAlignment="1" applyProtection="1">
      <alignment horizontal="center"/>
    </xf>
    <xf numFmtId="174" fontId="6" fillId="9" borderId="0" xfId="0" applyNumberFormat="1" applyFont="1" applyFill="1" applyBorder="1" applyAlignment="1" applyProtection="1">
      <alignment horizontal="center"/>
    </xf>
    <xf numFmtId="174" fontId="86" fillId="9" borderId="0" xfId="0" applyNumberFormat="1" applyFont="1" applyFill="1" applyBorder="1" applyAlignment="1" applyProtection="1">
      <alignment horizontal="center"/>
    </xf>
    <xf numFmtId="0" fontId="85" fillId="2" borderId="0" xfId="0" applyFont="1" applyFill="1" applyBorder="1" applyAlignment="1" applyProtection="1">
      <alignment horizontal="center"/>
    </xf>
    <xf numFmtId="0" fontId="85" fillId="9" borderId="0" xfId="0" applyFont="1" applyFill="1" applyBorder="1" applyAlignment="1" applyProtection="1">
      <alignment horizontal="center"/>
    </xf>
    <xf numFmtId="0" fontId="42" fillId="4" borderId="0" xfId="0" applyFont="1" applyFill="1" applyBorder="1" applyAlignment="1" applyProtection="1">
      <alignment horizontal="center"/>
    </xf>
    <xf numFmtId="0" fontId="0" fillId="3" borderId="1" xfId="0" applyFill="1" applyBorder="1" applyProtection="1"/>
    <xf numFmtId="164" fontId="91" fillId="10" borderId="1" xfId="0" applyNumberFormat="1" applyFont="1" applyFill="1" applyBorder="1" applyProtection="1"/>
    <xf numFmtId="164" fontId="91" fillId="9" borderId="1" xfId="0" applyNumberFormat="1" applyFont="1" applyFill="1" applyBorder="1" applyProtection="1"/>
    <xf numFmtId="0" fontId="11" fillId="13" borderId="1" xfId="0" applyFont="1" applyFill="1" applyBorder="1" applyAlignment="1" applyProtection="1">
      <alignment horizontal="left"/>
      <protection locked="0"/>
    </xf>
    <xf numFmtId="0" fontId="11" fillId="13" borderId="1" xfId="0" applyFont="1" applyFill="1" applyBorder="1" applyAlignment="1" applyProtection="1">
      <alignment horizontal="center"/>
      <protection locked="0"/>
    </xf>
    <xf numFmtId="174" fontId="11" fillId="13" borderId="1" xfId="0" applyNumberFormat="1" applyFont="1" applyFill="1" applyBorder="1" applyAlignment="1" applyProtection="1">
      <alignment horizontal="center"/>
      <protection locked="0"/>
    </xf>
    <xf numFmtId="0" fontId="6" fillId="13" borderId="1" xfId="0" applyFont="1" applyFill="1" applyBorder="1" applyAlignment="1" applyProtection="1">
      <alignment horizontal="center"/>
      <protection locked="0"/>
    </xf>
    <xf numFmtId="169" fontId="11" fillId="13" borderId="1" xfId="3" applyNumberFormat="1" applyFont="1" applyFill="1" applyBorder="1" applyAlignment="1" applyProtection="1">
      <alignment horizontal="center"/>
      <protection locked="0"/>
    </xf>
    <xf numFmtId="0" fontId="6" fillId="13" borderId="1" xfId="0" applyFont="1" applyFill="1" applyBorder="1" applyAlignment="1" applyProtection="1">
      <alignment horizontal="left"/>
      <protection locked="0"/>
    </xf>
    <xf numFmtId="174" fontId="6" fillId="13" borderId="1" xfId="0" applyNumberFormat="1" applyFont="1" applyFill="1" applyBorder="1" applyAlignment="1" applyProtection="1">
      <alignment horizontal="center"/>
      <protection locked="0"/>
    </xf>
    <xf numFmtId="169" fontId="6" fillId="13" borderId="1" xfId="3" applyNumberFormat="1" applyFont="1" applyFill="1" applyBorder="1" applyAlignment="1" applyProtection="1">
      <alignment horizontal="center"/>
      <protection locked="0"/>
    </xf>
    <xf numFmtId="49" fontId="6" fillId="9" borderId="1" xfId="0" applyNumberFormat="1" applyFont="1" applyFill="1" applyBorder="1" applyAlignment="1" applyProtection="1">
      <alignment horizontal="center"/>
    </xf>
    <xf numFmtId="164" fontId="11" fillId="13" borderId="1" xfId="0" applyNumberFormat="1" applyFont="1" applyFill="1" applyBorder="1" applyAlignment="1" applyProtection="1">
      <alignment horizontal="center"/>
      <protection locked="0"/>
    </xf>
    <xf numFmtId="0" fontId="13" fillId="8" borderId="0" xfId="0" applyFont="1" applyFill="1" applyBorder="1" applyProtection="1"/>
    <xf numFmtId="164" fontId="6" fillId="13" borderId="1" xfId="0" applyNumberFormat="1" applyFont="1" applyFill="1" applyBorder="1" applyAlignment="1" applyProtection="1">
      <alignment horizontal="center"/>
      <protection locked="0"/>
    </xf>
    <xf numFmtId="0" fontId="0" fillId="3" borderId="0" xfId="0" applyFill="1" applyProtection="1"/>
    <xf numFmtId="164" fontId="6" fillId="7" borderId="1" xfId="0" applyNumberFormat="1" applyFont="1" applyFill="1" applyBorder="1" applyAlignment="1" applyProtection="1">
      <alignment horizontal="left"/>
    </xf>
    <xf numFmtId="9" fontId="6" fillId="3" borderId="1" xfId="2" applyFont="1" applyFill="1" applyBorder="1" applyAlignment="1" applyProtection="1">
      <alignment horizontal="center"/>
    </xf>
    <xf numFmtId="173" fontId="6" fillId="3" borderId="1" xfId="2" applyNumberFormat="1" applyFont="1" applyFill="1" applyBorder="1" applyAlignment="1" applyProtection="1">
      <alignment horizontal="center"/>
    </xf>
    <xf numFmtId="9" fontId="6" fillId="3" borderId="1" xfId="0" applyNumberFormat="1" applyFont="1" applyFill="1" applyBorder="1" applyAlignment="1" applyProtection="1">
      <alignment horizontal="center"/>
    </xf>
    <xf numFmtId="184" fontId="100" fillId="7" borderId="21" xfId="0" applyNumberFormat="1" applyFont="1" applyFill="1" applyBorder="1" applyAlignment="1" applyProtection="1">
      <alignment horizontal="center"/>
    </xf>
    <xf numFmtId="0" fontId="0" fillId="0" borderId="0" xfId="0" applyProtection="1"/>
    <xf numFmtId="165" fontId="6" fillId="2" borderId="44" xfId="3" applyNumberFormat="1" applyFont="1" applyFill="1" applyBorder="1" applyProtection="1">
      <protection locked="0"/>
    </xf>
    <xf numFmtId="0" fontId="6" fillId="3" borderId="15" xfId="0" applyFont="1" applyFill="1" applyBorder="1" applyProtection="1"/>
    <xf numFmtId="0" fontId="6" fillId="2" borderId="42" xfId="0" applyFont="1" applyFill="1" applyBorder="1" applyProtection="1"/>
    <xf numFmtId="44" fontId="92" fillId="0" borderId="45" xfId="0" applyNumberFormat="1" applyFont="1" applyFill="1" applyBorder="1" applyAlignment="1" applyProtection="1">
      <alignment horizontal="center"/>
      <protection locked="0"/>
    </xf>
    <xf numFmtId="164" fontId="11" fillId="7" borderId="1" xfId="0" applyNumberFormat="1" applyFont="1" applyFill="1" applyBorder="1" applyAlignment="1" applyProtection="1">
      <alignment horizontal="center"/>
    </xf>
    <xf numFmtId="0" fontId="85" fillId="9" borderId="46" xfId="0" applyFont="1" applyFill="1" applyBorder="1" applyProtection="1"/>
    <xf numFmtId="0" fontId="85" fillId="9" borderId="46" xfId="0" applyFont="1" applyFill="1" applyBorder="1" applyAlignment="1" applyProtection="1">
      <alignment horizontal="center"/>
    </xf>
    <xf numFmtId="44" fontId="6" fillId="7" borderId="0" xfId="0" applyNumberFormat="1" applyFont="1" applyFill="1" applyBorder="1" applyAlignment="1" applyProtection="1">
      <alignment horizontal="center"/>
    </xf>
    <xf numFmtId="0" fontId="89" fillId="3" borderId="0" xfId="0" applyFont="1" applyFill="1" applyBorder="1" applyAlignment="1" applyProtection="1">
      <alignment horizontal="center"/>
    </xf>
    <xf numFmtId="0" fontId="11" fillId="11" borderId="0" xfId="0" applyFont="1" applyFill="1" applyBorder="1" applyProtection="1"/>
    <xf numFmtId="0" fontId="11" fillId="11" borderId="42" xfId="0" applyFont="1" applyFill="1" applyBorder="1" applyProtection="1"/>
    <xf numFmtId="0" fontId="70" fillId="11" borderId="0" xfId="0" applyFont="1" applyFill="1" applyBorder="1" applyProtection="1"/>
    <xf numFmtId="0" fontId="11" fillId="11" borderId="3" xfId="0" applyFont="1" applyFill="1" applyBorder="1" applyProtection="1"/>
    <xf numFmtId="0" fontId="11" fillId="11" borderId="4" xfId="0" applyFont="1" applyFill="1" applyBorder="1" applyProtection="1"/>
    <xf numFmtId="0" fontId="11" fillId="2" borderId="42" xfId="0" applyFont="1" applyFill="1" applyBorder="1" applyProtection="1"/>
    <xf numFmtId="180" fontId="92" fillId="0" borderId="0" xfId="0" applyNumberFormat="1" applyFont="1" applyFill="1" applyBorder="1" applyAlignment="1" applyProtection="1">
      <alignment horizontal="left"/>
    </xf>
    <xf numFmtId="0" fontId="92" fillId="0" borderId="0" xfId="0" applyFont="1" applyAlignment="1" applyProtection="1">
      <alignment horizontal="left"/>
    </xf>
    <xf numFmtId="0" fontId="92" fillId="0" borderId="0" xfId="0" applyFont="1" applyProtection="1"/>
    <xf numFmtId="180" fontId="92" fillId="7" borderId="0" xfId="0" applyNumberFormat="1" applyFont="1" applyFill="1" applyBorder="1" applyAlignment="1" applyProtection="1">
      <alignment horizontal="left"/>
      <protection locked="0"/>
    </xf>
    <xf numFmtId="44" fontId="92" fillId="7" borderId="0" xfId="0" applyNumberFormat="1" applyFont="1" applyFill="1" applyAlignment="1" applyProtection="1">
      <alignment horizontal="left"/>
      <protection locked="0"/>
    </xf>
    <xf numFmtId="0" fontId="6" fillId="9" borderId="1" xfId="0" applyNumberFormat="1" applyFont="1" applyFill="1" applyBorder="1" applyProtection="1">
      <protection locked="0"/>
    </xf>
    <xf numFmtId="2" fontId="16" fillId="2" borderId="0" xfId="0" applyNumberFormat="1" applyFont="1" applyFill="1" applyBorder="1" applyAlignment="1" applyProtection="1">
      <alignment horizontal="left"/>
    </xf>
    <xf numFmtId="0" fontId="6" fillId="9" borderId="12" xfId="0" applyFont="1" applyFill="1" applyBorder="1" applyProtection="1"/>
    <xf numFmtId="0" fontId="6" fillId="9" borderId="47" xfId="0" applyFont="1" applyFill="1" applyBorder="1" applyProtection="1"/>
    <xf numFmtId="0" fontId="28" fillId="2" borderId="42" xfId="0" applyFont="1" applyFill="1" applyBorder="1" applyProtection="1"/>
    <xf numFmtId="42" fontId="11" fillId="5" borderId="1" xfId="0" applyNumberFormat="1" applyFont="1" applyFill="1" applyBorder="1" applyProtection="1"/>
    <xf numFmtId="170" fontId="11" fillId="3" borderId="0" xfId="0" applyNumberFormat="1" applyFont="1" applyFill="1" applyBorder="1" applyAlignment="1" applyProtection="1">
      <alignment horizontal="left"/>
    </xf>
    <xf numFmtId="0" fontId="6" fillId="3" borderId="0" xfId="0" applyNumberFormat="1" applyFont="1" applyFill="1" applyBorder="1" applyAlignment="1" applyProtection="1">
      <alignment horizontal="center"/>
    </xf>
    <xf numFmtId="0" fontId="6" fillId="3" borderId="0" xfId="0" applyNumberFormat="1" applyFont="1" applyFill="1" applyBorder="1" applyAlignment="1" applyProtection="1"/>
    <xf numFmtId="2" fontId="6" fillId="3" borderId="0" xfId="0" applyNumberFormat="1" applyFont="1" applyFill="1" applyBorder="1" applyProtection="1"/>
    <xf numFmtId="0" fontId="11" fillId="3" borderId="0" xfId="0" applyNumberFormat="1" applyFont="1" applyFill="1" applyBorder="1" applyAlignment="1" applyProtection="1">
      <alignment horizontal="left"/>
    </xf>
    <xf numFmtId="0" fontId="42" fillId="9" borderId="46" xfId="0" applyFont="1" applyFill="1" applyBorder="1" applyProtection="1"/>
    <xf numFmtId="14" fontId="6" fillId="9" borderId="0" xfId="0" applyNumberFormat="1" applyFont="1" applyFill="1" applyBorder="1" applyAlignment="1" applyProtection="1">
      <alignment horizontal="center"/>
    </xf>
    <xf numFmtId="14" fontId="6" fillId="11" borderId="0" xfId="0" applyNumberFormat="1" applyFont="1" applyFill="1" applyBorder="1" applyProtection="1"/>
    <xf numFmtId="186" fontId="6" fillId="9" borderId="0" xfId="0" applyNumberFormat="1" applyFont="1" applyFill="1" applyBorder="1" applyProtection="1"/>
    <xf numFmtId="0" fontId="85" fillId="11" borderId="0" xfId="0" applyFont="1" applyFill="1" applyBorder="1" applyProtection="1"/>
    <xf numFmtId="14" fontId="6" fillId="11" borderId="0" xfId="0" applyNumberFormat="1" applyFont="1" applyFill="1" applyBorder="1" applyAlignment="1" applyProtection="1">
      <alignment horizontal="center"/>
    </xf>
    <xf numFmtId="186" fontId="6" fillId="11" borderId="0" xfId="0" applyNumberFormat="1" applyFont="1" applyFill="1" applyBorder="1" applyProtection="1"/>
    <xf numFmtId="0" fontId="11" fillId="11" borderId="48" xfId="0" applyFont="1" applyFill="1" applyBorder="1" applyProtection="1"/>
    <xf numFmtId="165" fontId="6" fillId="9" borderId="0" xfId="3" applyNumberFormat="1" applyFont="1" applyFill="1" applyBorder="1" applyProtection="1"/>
    <xf numFmtId="44" fontId="92" fillId="9" borderId="0" xfId="0" applyNumberFormat="1" applyFont="1" applyFill="1" applyBorder="1" applyAlignment="1" applyProtection="1">
      <alignment horizontal="center"/>
    </xf>
    <xf numFmtId="0" fontId="15" fillId="11" borderId="0" xfId="0" applyFont="1" applyFill="1" applyBorder="1" applyProtection="1"/>
    <xf numFmtId="0" fontId="6" fillId="2" borderId="12" xfId="0" applyFont="1" applyFill="1" applyBorder="1" applyAlignment="1" applyProtection="1">
      <protection locked="0"/>
    </xf>
    <xf numFmtId="2" fontId="29" fillId="3" borderId="0" xfId="0" applyNumberFormat="1" applyFont="1" applyFill="1" applyBorder="1" applyAlignment="1" applyProtection="1">
      <alignment horizontal="right" wrapText="1"/>
    </xf>
    <xf numFmtId="0" fontId="92" fillId="0" borderId="1" xfId="0" applyFont="1" applyBorder="1" applyAlignment="1" applyProtection="1">
      <alignment horizontal="center"/>
      <protection locked="0"/>
    </xf>
    <xf numFmtId="3" fontId="34" fillId="4" borderId="1" xfId="0" applyNumberFormat="1" applyFont="1" applyFill="1" applyBorder="1" applyAlignment="1" applyProtection="1">
      <alignment horizontal="center"/>
    </xf>
    <xf numFmtId="0" fontId="7" fillId="9" borderId="0" xfId="0" applyFont="1" applyFill="1" applyBorder="1" applyAlignment="1" applyProtection="1">
      <alignment horizontal="left"/>
    </xf>
    <xf numFmtId="44" fontId="6" fillId="7" borderId="22" xfId="0" applyNumberFormat="1" applyFont="1" applyFill="1" applyBorder="1" applyAlignment="1" applyProtection="1">
      <alignment horizontal="center"/>
    </xf>
    <xf numFmtId="44" fontId="91" fillId="10" borderId="22" xfId="0" applyNumberFormat="1" applyFont="1" applyFill="1" applyBorder="1" applyAlignment="1" applyProtection="1">
      <alignment horizontal="center"/>
    </xf>
    <xf numFmtId="186" fontId="6" fillId="7" borderId="22" xfId="0" applyNumberFormat="1" applyFont="1" applyFill="1" applyBorder="1" applyAlignment="1" applyProtection="1">
      <alignment horizontal="center"/>
    </xf>
    <xf numFmtId="0" fontId="11" fillId="11" borderId="2" xfId="0" applyFont="1" applyFill="1" applyBorder="1" applyProtection="1"/>
    <xf numFmtId="0" fontId="107" fillId="0" borderId="0" xfId="0" applyFont="1"/>
    <xf numFmtId="42" fontId="11" fillId="9" borderId="1" xfId="0" applyNumberFormat="1" applyFont="1" applyFill="1" applyBorder="1" applyProtection="1"/>
    <xf numFmtId="0" fontId="78" fillId="3" borderId="0" xfId="0" applyFont="1" applyFill="1" applyBorder="1" applyProtection="1"/>
    <xf numFmtId="42" fontId="93" fillId="6" borderId="0" xfId="0" applyNumberFormat="1" applyFont="1" applyFill="1" applyBorder="1" applyAlignment="1" applyProtection="1">
      <alignment horizontal="center"/>
    </xf>
    <xf numFmtId="0" fontId="11" fillId="2" borderId="50" xfId="0" applyFont="1" applyFill="1" applyBorder="1" applyProtection="1"/>
    <xf numFmtId="0" fontId="0" fillId="9" borderId="0" xfId="0" applyFill="1"/>
    <xf numFmtId="44" fontId="92" fillId="7" borderId="0" xfId="0" applyNumberFormat="1" applyFont="1" applyFill="1" applyBorder="1" applyAlignment="1" applyProtection="1">
      <alignment horizontal="left"/>
      <protection locked="0"/>
    </xf>
    <xf numFmtId="0" fontId="11" fillId="9" borderId="1" xfId="0" applyFont="1" applyFill="1" applyBorder="1" applyAlignment="1" applyProtection="1">
      <alignment horizontal="center"/>
    </xf>
    <xf numFmtId="42" fontId="11" fillId="7" borderId="1" xfId="0" applyNumberFormat="1" applyFont="1" applyFill="1" applyBorder="1" applyAlignment="1" applyProtection="1">
      <alignment horizontal="center"/>
    </xf>
    <xf numFmtId="1" fontId="109" fillId="3" borderId="1" xfId="0" applyNumberFormat="1" applyFont="1" applyFill="1" applyBorder="1" applyAlignment="1" applyProtection="1">
      <alignment horizontal="center"/>
    </xf>
    <xf numFmtId="0" fontId="110" fillId="2" borderId="0" xfId="0" applyFont="1" applyFill="1" applyBorder="1" applyProtection="1"/>
    <xf numFmtId="42" fontId="91" fillId="10" borderId="1" xfId="0" applyNumberFormat="1" applyFont="1" applyFill="1" applyBorder="1" applyAlignment="1" applyProtection="1">
      <alignment horizontal="center"/>
    </xf>
    <xf numFmtId="0" fontId="6" fillId="11" borderId="50" xfId="0" applyFont="1" applyFill="1" applyBorder="1" applyProtection="1"/>
    <xf numFmtId="0" fontId="6" fillId="11" borderId="6" xfId="0" applyFont="1" applyFill="1" applyBorder="1" applyProtection="1"/>
    <xf numFmtId="0" fontId="112" fillId="11" borderId="0" xfId="0" applyFont="1" applyFill="1" applyBorder="1" applyProtection="1"/>
    <xf numFmtId="0" fontId="113" fillId="11" borderId="0" xfId="0" applyFont="1" applyFill="1" applyBorder="1" applyProtection="1"/>
    <xf numFmtId="164" fontId="114" fillId="11" borderId="0" xfId="0" applyNumberFormat="1" applyFont="1" applyFill="1" applyBorder="1" applyAlignment="1" applyProtection="1"/>
    <xf numFmtId="0" fontId="112" fillId="11" borderId="51" xfId="0" applyFont="1" applyFill="1" applyBorder="1" applyProtection="1"/>
    <xf numFmtId="0" fontId="5" fillId="9" borderId="52" xfId="0" applyNumberFormat="1" applyFont="1" applyFill="1" applyBorder="1" applyAlignment="1" applyProtection="1">
      <alignment vertical="center"/>
      <protection locked="0"/>
    </xf>
    <xf numFmtId="0" fontId="5" fillId="9" borderId="19" xfId="0" applyNumberFormat="1" applyFont="1" applyFill="1" applyBorder="1" applyAlignment="1" applyProtection="1">
      <alignment vertical="center"/>
      <protection locked="0"/>
    </xf>
    <xf numFmtId="0" fontId="11" fillId="9" borderId="0" xfId="0" applyFont="1" applyFill="1" applyBorder="1" applyProtection="1"/>
    <xf numFmtId="0" fontId="13" fillId="9" borderId="0" xfId="0" applyFont="1" applyFill="1" applyBorder="1" applyProtection="1"/>
    <xf numFmtId="0" fontId="115" fillId="2" borderId="0" xfId="0" applyFont="1" applyFill="1" applyBorder="1" applyProtection="1"/>
    <xf numFmtId="164" fontId="41" fillId="9" borderId="1" xfId="0" applyNumberFormat="1" applyFont="1" applyFill="1" applyBorder="1" applyAlignment="1" applyProtection="1">
      <alignment horizontal="center"/>
    </xf>
    <xf numFmtId="0" fontId="117" fillId="11" borderId="1" xfId="0" applyFont="1" applyFill="1" applyBorder="1" applyAlignment="1" applyProtection="1">
      <alignment horizontal="center"/>
    </xf>
    <xf numFmtId="1" fontId="117" fillId="11" borderId="1" xfId="0" applyNumberFormat="1" applyFont="1" applyFill="1" applyBorder="1" applyAlignment="1" applyProtection="1">
      <alignment horizontal="center"/>
    </xf>
    <xf numFmtId="0" fontId="117" fillId="9" borderId="1" xfId="0" applyFont="1" applyFill="1" applyBorder="1" applyAlignment="1" applyProtection="1">
      <alignment horizontal="center"/>
    </xf>
    <xf numFmtId="164" fontId="34" fillId="9" borderId="1" xfId="0" applyNumberFormat="1" applyFont="1" applyFill="1" applyBorder="1" applyAlignment="1" applyProtection="1">
      <alignment horizontal="center"/>
    </xf>
    <xf numFmtId="0" fontId="6" fillId="9" borderId="9" xfId="0" applyFont="1" applyFill="1" applyBorder="1" applyAlignment="1" applyProtection="1">
      <alignment horizontal="center"/>
    </xf>
    <xf numFmtId="0" fontId="119" fillId="3" borderId="1" xfId="0" applyFont="1" applyFill="1" applyBorder="1" applyProtection="1"/>
    <xf numFmtId="164" fontId="6" fillId="9" borderId="9" xfId="0" applyNumberFormat="1" applyFont="1" applyFill="1" applyBorder="1" applyAlignment="1" applyProtection="1">
      <alignment horizontal="center"/>
    </xf>
    <xf numFmtId="42" fontId="91" fillId="9" borderId="1" xfId="0" applyNumberFormat="1" applyFont="1" applyFill="1" applyBorder="1" applyAlignment="1" applyProtection="1">
      <alignment horizontal="center"/>
    </xf>
    <xf numFmtId="0" fontId="11" fillId="0" borderId="0" xfId="0" applyFont="1" applyFill="1" applyBorder="1" applyProtection="1"/>
    <xf numFmtId="0" fontId="11" fillId="0" borderId="0" xfId="0" applyFont="1" applyFill="1" applyBorder="1" applyAlignment="1" applyProtection="1">
      <alignment horizontal="center"/>
    </xf>
    <xf numFmtId="49" fontId="15" fillId="0" borderId="0" xfId="0" applyNumberFormat="1" applyFont="1" applyFill="1" applyBorder="1" applyAlignment="1" applyProtection="1">
      <alignment horizontal="center"/>
    </xf>
    <xf numFmtId="0" fontId="46" fillId="0" borderId="0" xfId="0" applyFont="1" applyFill="1" applyBorder="1" applyProtection="1"/>
    <xf numFmtId="0" fontId="65" fillId="0" borderId="0" xfId="0" applyFont="1" applyFill="1" applyBorder="1" applyProtection="1"/>
    <xf numFmtId="0" fontId="65" fillId="0" borderId="0" xfId="0" applyFont="1" applyFill="1" applyBorder="1" applyAlignment="1" applyProtection="1">
      <alignment horizontal="center"/>
    </xf>
    <xf numFmtId="164" fontId="11" fillId="2" borderId="0" xfId="0" applyNumberFormat="1" applyFont="1" applyFill="1" applyBorder="1" applyAlignment="1" applyProtection="1">
      <alignment horizontal="center"/>
    </xf>
    <xf numFmtId="0" fontId="94" fillId="2" borderId="0" xfId="1" applyFont="1" applyFill="1" applyBorder="1" applyAlignment="1" applyProtection="1">
      <alignment horizontal="right"/>
    </xf>
    <xf numFmtId="0" fontId="67" fillId="0" borderId="53" xfId="0" applyFont="1" applyFill="1" applyBorder="1" applyProtection="1"/>
    <xf numFmtId="0" fontId="117" fillId="9" borderId="11" xfId="0" applyFont="1" applyFill="1" applyBorder="1" applyAlignment="1" applyProtection="1">
      <alignment horizontal="center"/>
    </xf>
    <xf numFmtId="1" fontId="39" fillId="2" borderId="54" xfId="0" applyNumberFormat="1" applyFont="1" applyFill="1" applyBorder="1" applyAlignment="1" applyProtection="1">
      <alignment horizontal="center"/>
    </xf>
    <xf numFmtId="1" fontId="39" fillId="2" borderId="55" xfId="0" applyNumberFormat="1" applyFont="1" applyFill="1" applyBorder="1" applyAlignment="1" applyProtection="1">
      <alignment horizontal="center"/>
    </xf>
    <xf numFmtId="164" fontId="43" fillId="4" borderId="14" xfId="0" applyNumberFormat="1" applyFont="1" applyFill="1" applyBorder="1" applyAlignment="1" applyProtection="1">
      <alignment horizontal="center"/>
    </xf>
    <xf numFmtId="0" fontId="117" fillId="9" borderId="57" xfId="0" applyFont="1" applyFill="1" applyBorder="1" applyAlignment="1" applyProtection="1">
      <alignment horizontal="center"/>
    </xf>
    <xf numFmtId="0" fontId="12" fillId="3" borderId="58" xfId="0" applyFont="1" applyFill="1" applyBorder="1" applyProtection="1"/>
    <xf numFmtId="0" fontId="11" fillId="3" borderId="58" xfId="0" applyFont="1" applyFill="1" applyBorder="1" applyProtection="1"/>
    <xf numFmtId="0" fontId="11" fillId="3" borderId="58" xfId="0" applyFont="1" applyFill="1" applyBorder="1" applyAlignment="1" applyProtection="1">
      <alignment horizontal="center"/>
    </xf>
    <xf numFmtId="0" fontId="116" fillId="3" borderId="59" xfId="0" applyFont="1" applyFill="1" applyBorder="1" applyAlignment="1" applyProtection="1">
      <alignment horizontal="right"/>
    </xf>
    <xf numFmtId="0" fontId="6" fillId="3" borderId="59" xfId="0" applyFont="1" applyFill="1" applyBorder="1" applyProtection="1"/>
    <xf numFmtId="0" fontId="6" fillId="3" borderId="59" xfId="0" applyFont="1" applyFill="1" applyBorder="1" applyAlignment="1" applyProtection="1">
      <alignment horizontal="center"/>
    </xf>
    <xf numFmtId="0" fontId="6" fillId="3" borderId="60" xfId="0" applyFont="1" applyFill="1" applyBorder="1" applyAlignment="1" applyProtection="1">
      <alignment horizontal="center"/>
    </xf>
    <xf numFmtId="164" fontId="43" fillId="9" borderId="14" xfId="0" applyNumberFormat="1" applyFont="1" applyFill="1" applyBorder="1" applyAlignment="1" applyProtection="1">
      <alignment horizontal="center"/>
    </xf>
    <xf numFmtId="0" fontId="11" fillId="9" borderId="14" xfId="0" applyFont="1" applyFill="1" applyBorder="1" applyProtection="1"/>
    <xf numFmtId="164" fontId="11" fillId="9" borderId="1" xfId="0" applyNumberFormat="1" applyFont="1" applyFill="1" applyBorder="1" applyAlignment="1" applyProtection="1">
      <alignment horizontal="center"/>
    </xf>
    <xf numFmtId="0" fontId="39" fillId="2" borderId="0" xfId="0" applyFont="1" applyFill="1" applyBorder="1" applyProtection="1"/>
    <xf numFmtId="0" fontId="6" fillId="2" borderId="50" xfId="0" applyFont="1" applyFill="1" applyBorder="1" applyProtection="1"/>
    <xf numFmtId="0" fontId="67" fillId="0" borderId="0" xfId="0" applyFont="1" applyFill="1" applyBorder="1" applyProtection="1"/>
    <xf numFmtId="0" fontId="67" fillId="0" borderId="0" xfId="0" applyFont="1" applyFill="1" applyBorder="1" applyAlignment="1" applyProtection="1">
      <alignment horizontal="center"/>
    </xf>
    <xf numFmtId="49" fontId="69" fillId="0" borderId="53" xfId="0" applyNumberFormat="1" applyFont="1" applyFill="1" applyBorder="1" applyAlignment="1" applyProtection="1">
      <alignment horizontal="center"/>
    </xf>
    <xf numFmtId="170" fontId="67" fillId="0" borderId="53" xfId="0" applyNumberFormat="1" applyFont="1" applyFill="1" applyBorder="1" applyProtection="1"/>
    <xf numFmtId="0" fontId="66" fillId="0" borderId="26" xfId="0" applyNumberFormat="1" applyFont="1" applyFill="1" applyBorder="1" applyAlignment="1" applyProtection="1">
      <alignment horizontal="left"/>
    </xf>
    <xf numFmtId="0" fontId="69" fillId="0" borderId="27" xfId="0" applyFont="1" applyFill="1" applyBorder="1" applyAlignment="1" applyProtection="1">
      <alignment horizontal="right"/>
    </xf>
    <xf numFmtId="0" fontId="69" fillId="0" borderId="27" xfId="0" applyFont="1" applyFill="1" applyBorder="1" applyAlignment="1" applyProtection="1">
      <alignment horizontal="center"/>
    </xf>
    <xf numFmtId="0" fontId="6" fillId="0" borderId="61" xfId="0" applyFont="1" applyFill="1" applyBorder="1" applyProtection="1"/>
    <xf numFmtId="0" fontId="6" fillId="0" borderId="62" xfId="0" applyFont="1" applyFill="1" applyBorder="1" applyProtection="1"/>
    <xf numFmtId="0" fontId="6" fillId="0" borderId="64" xfId="0" applyFont="1" applyFill="1" applyBorder="1" applyProtection="1"/>
    <xf numFmtId="0" fontId="7" fillId="0" borderId="64" xfId="0" applyFont="1" applyFill="1" applyBorder="1" applyAlignment="1" applyProtection="1">
      <alignment horizontal="left"/>
    </xf>
    <xf numFmtId="0" fontId="7" fillId="0" borderId="64" xfId="0" applyFont="1" applyFill="1" applyBorder="1" applyProtection="1"/>
    <xf numFmtId="0" fontId="67" fillId="0" borderId="69" xfId="0" applyFont="1" applyFill="1" applyBorder="1" applyProtection="1"/>
    <xf numFmtId="0" fontId="67" fillId="0" borderId="70" xfId="0" applyFont="1" applyFill="1" applyBorder="1" applyProtection="1"/>
    <xf numFmtId="0" fontId="67" fillId="0" borderId="70" xfId="0" applyFont="1" applyFill="1" applyBorder="1" applyAlignment="1" applyProtection="1">
      <alignment horizontal="center"/>
    </xf>
    <xf numFmtId="0" fontId="67" fillId="0" borderId="71" xfId="0" applyFont="1" applyFill="1" applyBorder="1" applyProtection="1"/>
    <xf numFmtId="0" fontId="67" fillId="0" borderId="69" xfId="0" applyFont="1" applyFill="1" applyBorder="1" applyAlignment="1" applyProtection="1">
      <alignment horizontal="left"/>
    </xf>
    <xf numFmtId="0" fontId="46" fillId="0" borderId="70" xfId="0" applyFont="1" applyFill="1" applyBorder="1" applyAlignment="1" applyProtection="1">
      <alignment horizontal="center"/>
    </xf>
    <xf numFmtId="0" fontId="46" fillId="0" borderId="69" xfId="0" applyFont="1" applyFill="1" applyBorder="1" applyProtection="1"/>
    <xf numFmtId="0" fontId="69" fillId="0" borderId="69" xfId="0" applyFont="1" applyFill="1" applyBorder="1" applyAlignment="1" applyProtection="1">
      <alignment horizontal="right"/>
    </xf>
    <xf numFmtId="0" fontId="6" fillId="0" borderId="63" xfId="0" applyFont="1" applyFill="1" applyBorder="1" applyProtection="1"/>
    <xf numFmtId="0" fontId="6" fillId="0" borderId="65" xfId="0" applyFont="1" applyFill="1" applyBorder="1" applyProtection="1"/>
    <xf numFmtId="49" fontId="13" fillId="0" borderId="65" xfId="0" applyNumberFormat="1" applyFont="1" applyFill="1" applyBorder="1" applyAlignment="1" applyProtection="1">
      <alignment horizontal="center"/>
    </xf>
    <xf numFmtId="170" fontId="7" fillId="0" borderId="65" xfId="0" applyNumberFormat="1" applyFont="1" applyFill="1" applyBorder="1" applyProtection="1"/>
    <xf numFmtId="0" fontId="6" fillId="0" borderId="68" xfId="0" applyFont="1" applyFill="1" applyBorder="1" applyProtection="1"/>
    <xf numFmtId="0" fontId="6" fillId="0" borderId="66" xfId="0" applyFont="1" applyFill="1" applyBorder="1" applyProtection="1"/>
    <xf numFmtId="0" fontId="15" fillId="0" borderId="67" xfId="0" applyFont="1" applyFill="1" applyBorder="1" applyAlignment="1" applyProtection="1">
      <alignment horizontal="left"/>
    </xf>
    <xf numFmtId="0" fontId="6" fillId="0" borderId="67" xfId="0" applyFont="1" applyFill="1" applyBorder="1" applyProtection="1"/>
    <xf numFmtId="0" fontId="6" fillId="0" borderId="67" xfId="0" applyFont="1" applyFill="1" applyBorder="1" applyAlignment="1" applyProtection="1">
      <alignment horizontal="center"/>
    </xf>
    <xf numFmtId="170" fontId="6" fillId="0" borderId="67" xfId="0" applyNumberFormat="1" applyFont="1" applyFill="1" applyBorder="1" applyProtection="1"/>
    <xf numFmtId="44" fontId="6" fillId="3" borderId="0" xfId="0" applyNumberFormat="1" applyFont="1" applyFill="1" applyBorder="1" applyProtection="1"/>
    <xf numFmtId="0" fontId="11" fillId="9" borderId="0" xfId="0" applyFont="1" applyFill="1" applyProtection="1"/>
    <xf numFmtId="42" fontId="6" fillId="3" borderId="0" xfId="0" applyNumberFormat="1" applyFont="1" applyFill="1" applyBorder="1" applyProtection="1"/>
    <xf numFmtId="0" fontId="11" fillId="9" borderId="0" xfId="0" applyFont="1" applyFill="1" applyBorder="1" applyAlignment="1" applyProtection="1">
      <alignment horizontal="center"/>
    </xf>
    <xf numFmtId="0" fontId="46" fillId="9" borderId="0" xfId="0" applyFont="1" applyFill="1" applyBorder="1" applyProtection="1"/>
    <xf numFmtId="164" fontId="11" fillId="9" borderId="0" xfId="0" applyNumberFormat="1" applyFont="1" applyFill="1" applyBorder="1" applyAlignment="1" applyProtection="1">
      <alignment horizontal="center"/>
    </xf>
    <xf numFmtId="0" fontId="66" fillId="0" borderId="0" xfId="0" applyFont="1" applyFill="1" applyBorder="1" applyProtection="1"/>
    <xf numFmtId="0" fontId="68" fillId="0" borderId="0" xfId="0" applyFont="1" applyFill="1" applyBorder="1" applyAlignment="1" applyProtection="1">
      <alignment horizontal="center"/>
    </xf>
    <xf numFmtId="0" fontId="69" fillId="0" borderId="0" xfId="0" applyFont="1" applyFill="1" applyBorder="1" applyProtection="1"/>
    <xf numFmtId="164" fontId="67" fillId="0" borderId="0" xfId="0" applyNumberFormat="1" applyFont="1" applyFill="1" applyBorder="1" applyAlignment="1" applyProtection="1">
      <alignment horizontal="center"/>
    </xf>
    <xf numFmtId="164" fontId="67" fillId="0" borderId="0" xfId="0" applyNumberFormat="1" applyFont="1" applyFill="1" applyBorder="1" applyProtection="1"/>
    <xf numFmtId="0" fontId="102" fillId="0" borderId="0" xfId="0" applyFont="1" applyFill="1" applyBorder="1" applyProtection="1"/>
    <xf numFmtId="164" fontId="102" fillId="0" borderId="0" xfId="0" applyNumberFormat="1" applyFont="1" applyFill="1" applyBorder="1" applyAlignment="1" applyProtection="1">
      <alignment horizontal="center"/>
    </xf>
    <xf numFmtId="164" fontId="65" fillId="0" borderId="0" xfId="0" applyNumberFormat="1" applyFont="1" applyFill="1" applyBorder="1" applyAlignment="1" applyProtection="1">
      <alignment horizontal="center"/>
    </xf>
    <xf numFmtId="0" fontId="121" fillId="0" borderId="0" xfId="0" applyFont="1" applyFill="1" applyBorder="1" applyProtection="1"/>
    <xf numFmtId="164" fontId="121" fillId="0" borderId="0" xfId="0" applyNumberFormat="1" applyFont="1" applyFill="1" applyBorder="1" applyProtection="1"/>
    <xf numFmtId="164" fontId="102" fillId="0" borderId="0" xfId="0" quotePrefix="1" applyNumberFormat="1" applyFont="1" applyFill="1" applyBorder="1" applyAlignment="1" applyProtection="1">
      <alignment horizontal="center"/>
    </xf>
    <xf numFmtId="0" fontId="120" fillId="0" borderId="0" xfId="0" applyFont="1" applyFill="1" applyBorder="1" applyProtection="1"/>
    <xf numFmtId="164" fontId="120" fillId="0" borderId="0" xfId="0" applyNumberFormat="1" applyFont="1" applyFill="1" applyBorder="1" applyProtection="1"/>
    <xf numFmtId="0" fontId="11" fillId="0" borderId="61" xfId="0" applyFont="1" applyFill="1" applyBorder="1" applyProtection="1"/>
    <xf numFmtId="0" fontId="11" fillId="0" borderId="62" xfId="0" applyFont="1" applyFill="1" applyBorder="1" applyProtection="1"/>
    <xf numFmtId="0" fontId="11" fillId="0" borderId="62" xfId="0" applyFont="1" applyFill="1" applyBorder="1" applyAlignment="1" applyProtection="1">
      <alignment horizontal="center"/>
    </xf>
    <xf numFmtId="0" fontId="11" fillId="11" borderId="63" xfId="0" applyFont="1" applyFill="1" applyBorder="1" applyProtection="1"/>
    <xf numFmtId="0" fontId="11" fillId="0" borderId="64" xfId="0" applyFont="1" applyFill="1" applyBorder="1" applyProtection="1"/>
    <xf numFmtId="0" fontId="11" fillId="11" borderId="65" xfId="0" applyFont="1" applyFill="1" applyBorder="1" applyProtection="1"/>
    <xf numFmtId="0" fontId="46" fillId="11" borderId="65" xfId="0" applyFont="1" applyFill="1" applyBorder="1" applyProtection="1"/>
    <xf numFmtId="0" fontId="11" fillId="11" borderId="65" xfId="0" applyFont="1" applyFill="1" applyBorder="1" applyAlignment="1" applyProtection="1">
      <alignment horizontal="center"/>
    </xf>
    <xf numFmtId="0" fontId="11" fillId="0" borderId="66" xfId="0" applyFont="1" applyFill="1" applyBorder="1" applyProtection="1"/>
    <xf numFmtId="0" fontId="11" fillId="0" borderId="67" xfId="0" applyFont="1" applyFill="1" applyBorder="1" applyProtection="1"/>
    <xf numFmtId="0" fontId="11" fillId="0" borderId="67" xfId="0" applyFont="1" applyFill="1" applyBorder="1" applyAlignment="1" applyProtection="1">
      <alignment horizontal="center"/>
    </xf>
    <xf numFmtId="0" fontId="11" fillId="11" borderId="68" xfId="0" applyFont="1" applyFill="1" applyBorder="1" applyProtection="1"/>
    <xf numFmtId="0" fontId="7" fillId="9" borderId="1" xfId="0" applyFont="1" applyFill="1" applyBorder="1" applyAlignment="1" applyProtection="1">
      <alignment horizontal="left"/>
    </xf>
    <xf numFmtId="0" fontId="6" fillId="9" borderId="1" xfId="0" applyFont="1" applyFill="1" applyBorder="1" applyAlignment="1" applyProtection="1">
      <alignment horizontal="center"/>
      <protection locked="0"/>
    </xf>
    <xf numFmtId="0" fontId="11" fillId="3" borderId="12" xfId="0" applyFont="1" applyFill="1" applyBorder="1" applyAlignment="1" applyProtection="1">
      <alignment horizontal="center"/>
    </xf>
    <xf numFmtId="10" fontId="11" fillId="7" borderId="72" xfId="0" applyNumberFormat="1" applyFont="1" applyFill="1" applyBorder="1" applyAlignment="1" applyProtection="1">
      <alignment horizontal="center"/>
    </xf>
    <xf numFmtId="0" fontId="92" fillId="0" borderId="0" xfId="0" applyFont="1" applyBorder="1" applyProtection="1">
      <protection locked="0"/>
    </xf>
    <xf numFmtId="0" fontId="13" fillId="9" borderId="0" xfId="0" applyFont="1" applyFill="1" applyBorder="1" applyAlignment="1" applyProtection="1">
      <alignment horizontal="left"/>
    </xf>
    <xf numFmtId="0" fontId="13" fillId="9" borderId="0" xfId="0" applyFont="1" applyFill="1" applyBorder="1" applyAlignment="1" applyProtection="1"/>
    <xf numFmtId="0" fontId="41" fillId="9" borderId="0" xfId="0" applyFont="1" applyFill="1" applyBorder="1" applyAlignment="1" applyProtection="1">
      <alignment horizontal="center"/>
    </xf>
    <xf numFmtId="0" fontId="13" fillId="9" borderId="0" xfId="0" applyFont="1" applyFill="1" applyBorder="1" applyAlignment="1" applyProtection="1">
      <alignment horizontal="center"/>
    </xf>
    <xf numFmtId="0" fontId="6" fillId="9" borderId="0" xfId="0" applyFont="1" applyFill="1" applyBorder="1" applyAlignment="1" applyProtection="1">
      <alignment horizontal="left"/>
    </xf>
    <xf numFmtId="164" fontId="6" fillId="9" borderId="0" xfId="0" applyNumberFormat="1" applyFont="1" applyFill="1" applyBorder="1" applyAlignment="1" applyProtection="1">
      <alignment horizontal="center"/>
    </xf>
    <xf numFmtId="0" fontId="55" fillId="2" borderId="6" xfId="0" applyFont="1" applyFill="1" applyBorder="1" applyAlignment="1" applyProtection="1">
      <alignment horizontal="center"/>
    </xf>
    <xf numFmtId="170" fontId="7" fillId="2" borderId="0" xfId="0" applyNumberFormat="1" applyFont="1" applyFill="1" applyBorder="1" applyProtection="1"/>
    <xf numFmtId="186" fontId="6" fillId="0" borderId="22" xfId="0" applyNumberFormat="1" applyFont="1" applyFill="1" applyBorder="1" applyAlignment="1" applyProtection="1">
      <alignment horizontal="center"/>
      <protection locked="0"/>
    </xf>
    <xf numFmtId="0" fontId="6" fillId="2" borderId="27" xfId="0" applyFont="1" applyFill="1" applyBorder="1" applyProtection="1"/>
    <xf numFmtId="0" fontId="6" fillId="2" borderId="27" xfId="0" applyFont="1" applyFill="1" applyBorder="1" applyAlignment="1" applyProtection="1">
      <alignment horizontal="left"/>
    </xf>
    <xf numFmtId="0" fontId="6" fillId="2" borderId="27" xfId="0" applyFont="1" applyFill="1" applyBorder="1" applyAlignment="1" applyProtection="1"/>
    <xf numFmtId="0" fontId="6" fillId="2" borderId="27" xfId="0" applyFont="1" applyFill="1" applyBorder="1" applyAlignment="1" applyProtection="1">
      <alignment horizontal="center"/>
    </xf>
    <xf numFmtId="0" fontId="14" fillId="2" borderId="50" xfId="0" applyFont="1" applyFill="1" applyBorder="1" applyProtection="1"/>
    <xf numFmtId="0" fontId="7" fillId="2" borderId="50" xfId="0" applyFont="1" applyFill="1" applyBorder="1" applyProtection="1"/>
    <xf numFmtId="0" fontId="15" fillId="2" borderId="50" xfId="0" applyFont="1" applyFill="1" applyBorder="1" applyProtection="1"/>
    <xf numFmtId="0" fontId="13" fillId="2" borderId="50" xfId="0" applyFont="1" applyFill="1" applyBorder="1" applyAlignment="1" applyProtection="1">
      <alignment horizontal="center"/>
    </xf>
    <xf numFmtId="0" fontId="6" fillId="2" borderId="50" xfId="0" applyFont="1" applyFill="1" applyBorder="1" applyAlignment="1" applyProtection="1">
      <alignment horizontal="center"/>
    </xf>
    <xf numFmtId="0" fontId="13" fillId="8" borderId="0" xfId="0" applyFont="1" applyFill="1" applyBorder="1" applyAlignment="1" applyProtection="1">
      <alignment horizontal="center"/>
    </xf>
    <xf numFmtId="0" fontId="92" fillId="0" borderId="0" xfId="0" applyFont="1" applyAlignment="1" applyProtection="1">
      <alignment horizontal="center"/>
      <protection locked="0"/>
    </xf>
    <xf numFmtId="0" fontId="6" fillId="9" borderId="1" xfId="0" applyFont="1" applyFill="1" applyBorder="1" applyAlignment="1" applyProtection="1">
      <alignment horizontal="left"/>
    </xf>
    <xf numFmtId="0" fontId="6" fillId="9" borderId="1" xfId="0" applyFont="1" applyFill="1" applyBorder="1" applyAlignment="1" applyProtection="1"/>
    <xf numFmtId="164" fontId="6" fillId="9" borderId="1" xfId="0" applyNumberFormat="1" applyFont="1" applyFill="1" applyBorder="1" applyAlignment="1" applyProtection="1"/>
    <xf numFmtId="0" fontId="6" fillId="9" borderId="12" xfId="0" applyFont="1" applyFill="1" applyBorder="1" applyAlignment="1" applyProtection="1">
      <alignment horizontal="center"/>
    </xf>
    <xf numFmtId="0" fontId="13" fillId="2" borderId="50" xfId="0" applyFont="1" applyFill="1" applyBorder="1" applyProtection="1"/>
    <xf numFmtId="0" fontId="13" fillId="3" borderId="11" xfId="0" applyFont="1" applyFill="1" applyBorder="1" applyProtection="1"/>
    <xf numFmtId="0" fontId="13" fillId="3" borderId="1" xfId="0" applyFont="1" applyFill="1" applyBorder="1" applyAlignment="1" applyProtection="1"/>
    <xf numFmtId="164" fontId="41" fillId="4" borderId="1" xfId="0" applyNumberFormat="1" applyFont="1" applyFill="1" applyBorder="1" applyProtection="1"/>
    <xf numFmtId="164" fontId="41" fillId="4" borderId="1" xfId="0" applyNumberFormat="1" applyFont="1" applyFill="1" applyBorder="1" applyAlignment="1" applyProtection="1"/>
    <xf numFmtId="0" fontId="13" fillId="3" borderId="12" xfId="0" applyFont="1" applyFill="1" applyBorder="1" applyProtection="1"/>
    <xf numFmtId="1" fontId="39" fillId="2" borderId="0" xfId="0" applyNumberFormat="1" applyFont="1" applyFill="1" applyBorder="1" applyAlignment="1" applyProtection="1">
      <alignment horizontal="left"/>
    </xf>
    <xf numFmtId="0" fontId="92" fillId="9" borderId="0" xfId="0" applyFont="1" applyFill="1" applyAlignment="1" applyProtection="1">
      <alignment horizontal="center"/>
      <protection locked="0"/>
    </xf>
    <xf numFmtId="0" fontId="92" fillId="9" borderId="1" xfId="0" applyFont="1" applyFill="1" applyBorder="1" applyAlignment="1" applyProtection="1">
      <alignment horizontal="center"/>
      <protection locked="0"/>
    </xf>
    <xf numFmtId="0" fontId="6" fillId="3" borderId="13" xfId="0" applyFont="1" applyFill="1" applyBorder="1" applyAlignment="1" applyProtection="1">
      <alignment horizontal="center"/>
    </xf>
    <xf numFmtId="0" fontId="6" fillId="3" borderId="14" xfId="0" applyFont="1" applyFill="1" applyBorder="1" applyAlignment="1" applyProtection="1">
      <alignment horizontal="left"/>
    </xf>
    <xf numFmtId="0" fontId="6" fillId="2" borderId="14" xfId="0" applyFont="1" applyFill="1" applyBorder="1" applyAlignment="1" applyProtection="1">
      <alignment horizontal="left"/>
      <protection locked="0"/>
    </xf>
    <xf numFmtId="0" fontId="6" fillId="2" borderId="15" xfId="0" applyFont="1" applyFill="1" applyBorder="1" applyAlignment="1" applyProtection="1">
      <protection locked="0"/>
    </xf>
    <xf numFmtId="0" fontId="6" fillId="2" borderId="1" xfId="0" applyFont="1" applyFill="1" applyBorder="1" applyAlignment="1" applyProtection="1">
      <protection locked="0"/>
    </xf>
    <xf numFmtId="0" fontId="92" fillId="0" borderId="1" xfId="0" applyFont="1" applyBorder="1" applyProtection="1">
      <protection locked="0"/>
    </xf>
    <xf numFmtId="0" fontId="6" fillId="2" borderId="30" xfId="0" applyFont="1" applyFill="1" applyBorder="1" applyAlignment="1" applyProtection="1">
      <alignment horizontal="left"/>
    </xf>
    <xf numFmtId="0" fontId="6" fillId="2" borderId="30" xfId="0" applyFont="1" applyFill="1" applyBorder="1" applyAlignment="1" applyProtection="1"/>
    <xf numFmtId="0" fontId="54" fillId="2" borderId="6" xfId="0" applyFont="1" applyFill="1" applyBorder="1" applyAlignment="1" applyProtection="1">
      <alignment horizontal="center"/>
    </xf>
    <xf numFmtId="0" fontId="6" fillId="11" borderId="30" xfId="0" applyFont="1" applyFill="1" applyBorder="1" applyProtection="1"/>
    <xf numFmtId="0" fontId="6" fillId="9" borderId="50" xfId="0" applyFont="1" applyFill="1" applyBorder="1" applyAlignment="1" applyProtection="1">
      <alignment horizontal="center"/>
    </xf>
    <xf numFmtId="0" fontId="92" fillId="7" borderId="0" xfId="0" applyFont="1" applyFill="1" applyProtection="1">
      <protection locked="0"/>
    </xf>
    <xf numFmtId="0" fontId="6" fillId="11" borderId="27" xfId="0" applyFont="1" applyFill="1" applyBorder="1" applyAlignment="1" applyProtection="1">
      <alignment horizontal="left"/>
    </xf>
    <xf numFmtId="0" fontId="6" fillId="11" borderId="27" xfId="0" applyFont="1" applyFill="1" applyBorder="1" applyAlignment="1" applyProtection="1">
      <alignment horizontal="center"/>
    </xf>
    <xf numFmtId="0" fontId="6" fillId="11" borderId="29" xfId="0" applyFont="1" applyFill="1" applyBorder="1" applyProtection="1"/>
    <xf numFmtId="0" fontId="6" fillId="11" borderId="30" xfId="0" applyFont="1" applyFill="1" applyBorder="1" applyAlignment="1" applyProtection="1">
      <alignment horizontal="left"/>
    </xf>
    <xf numFmtId="0" fontId="6" fillId="11" borderId="30" xfId="0" applyFont="1" applyFill="1" applyBorder="1" applyAlignment="1" applyProtection="1"/>
    <xf numFmtId="0" fontId="6" fillId="11" borderId="30" xfId="0" applyFont="1" applyFill="1" applyBorder="1" applyAlignment="1" applyProtection="1">
      <alignment horizontal="center"/>
    </xf>
    <xf numFmtId="0" fontId="6" fillId="11" borderId="31" xfId="0" applyFont="1" applyFill="1" applyBorder="1" applyProtection="1"/>
    <xf numFmtId="42" fontId="6" fillId="7" borderId="22" xfId="0" applyNumberFormat="1" applyFont="1" applyFill="1" applyBorder="1" applyProtection="1"/>
    <xf numFmtId="0" fontId="6" fillId="11" borderId="6" xfId="0" applyFont="1" applyFill="1" applyBorder="1" applyAlignment="1" applyProtection="1">
      <alignment horizontal="center"/>
    </xf>
    <xf numFmtId="42" fontId="6" fillId="7" borderId="75" xfId="0" applyNumberFormat="1" applyFont="1" applyFill="1" applyBorder="1" applyProtection="1"/>
    <xf numFmtId="0" fontId="39" fillId="8" borderId="76" xfId="0" applyFont="1" applyFill="1" applyBorder="1" applyAlignment="1" applyProtection="1">
      <alignment horizontal="center"/>
    </xf>
    <xf numFmtId="0" fontId="55" fillId="2" borderId="77" xfId="0" applyFont="1" applyFill="1" applyBorder="1" applyAlignment="1" applyProtection="1">
      <alignment horizontal="center"/>
    </xf>
    <xf numFmtId="0" fontId="39" fillId="8" borderId="73" xfId="0" applyFont="1" applyFill="1" applyBorder="1" applyAlignment="1" applyProtection="1">
      <alignment horizontal="center"/>
    </xf>
    <xf numFmtId="0" fontId="53" fillId="2" borderId="6" xfId="0" applyFont="1" applyFill="1" applyBorder="1" applyProtection="1"/>
    <xf numFmtId="0" fontId="54" fillId="2" borderId="6" xfId="0" applyFont="1" applyFill="1" applyBorder="1" applyProtection="1"/>
    <xf numFmtId="164" fontId="41" fillId="10" borderId="0" xfId="0" applyNumberFormat="1" applyFont="1" applyFill="1" applyBorder="1" applyProtection="1"/>
    <xf numFmtId="189" fontId="93" fillId="6" borderId="21" xfId="0" applyNumberFormat="1" applyFont="1" applyFill="1" applyBorder="1" applyAlignment="1" applyProtection="1">
      <alignment horizontal="right"/>
    </xf>
    <xf numFmtId="189" fontId="6" fillId="2" borderId="1" xfId="0" applyNumberFormat="1" applyFont="1" applyFill="1" applyBorder="1" applyAlignment="1" applyProtection="1">
      <alignment horizontal="right"/>
      <protection locked="0"/>
    </xf>
    <xf numFmtId="189" fontId="6" fillId="0" borderId="1" xfId="0" applyNumberFormat="1" applyFont="1" applyFill="1" applyBorder="1" applyAlignment="1" applyProtection="1">
      <alignment horizontal="right"/>
      <protection locked="0"/>
    </xf>
    <xf numFmtId="189" fontId="6" fillId="2" borderId="14" xfId="0" applyNumberFormat="1" applyFont="1" applyFill="1" applyBorder="1" applyAlignment="1" applyProtection="1">
      <alignment horizontal="right"/>
      <protection locked="0"/>
    </xf>
    <xf numFmtId="189" fontId="6" fillId="0" borderId="14" xfId="0" applyNumberFormat="1" applyFont="1" applyFill="1" applyBorder="1" applyAlignment="1" applyProtection="1">
      <alignment horizontal="right"/>
      <protection locked="0"/>
    </xf>
    <xf numFmtId="189" fontId="41" fillId="10" borderId="0" xfId="0" applyNumberFormat="1" applyFont="1" applyFill="1" applyBorder="1" applyAlignment="1" applyProtection="1">
      <alignment horizontal="right"/>
    </xf>
    <xf numFmtId="0" fontId="80" fillId="3" borderId="1" xfId="0" applyFont="1" applyFill="1" applyBorder="1" applyProtection="1"/>
    <xf numFmtId="0" fontId="11" fillId="3" borderId="79" xfId="0" applyFont="1" applyFill="1" applyBorder="1" applyProtection="1"/>
    <xf numFmtId="0" fontId="11" fillId="3" borderId="79" xfId="0" applyFont="1" applyFill="1" applyBorder="1" applyAlignment="1" applyProtection="1">
      <alignment horizontal="center"/>
    </xf>
    <xf numFmtId="0" fontId="117" fillId="3" borderId="82" xfId="0" applyFont="1" applyFill="1" applyBorder="1" applyProtection="1"/>
    <xf numFmtId="0" fontId="15" fillId="3" borderId="82" xfId="0" applyFont="1" applyFill="1" applyBorder="1" applyProtection="1"/>
    <xf numFmtId="0" fontId="117" fillId="11" borderId="83" xfId="0" applyFont="1" applyFill="1" applyBorder="1" applyAlignment="1" applyProtection="1">
      <alignment horizontal="center"/>
    </xf>
    <xf numFmtId="0" fontId="6" fillId="3" borderId="83" xfId="0" applyFont="1" applyFill="1" applyBorder="1" applyAlignment="1" applyProtection="1">
      <alignment horizontal="center"/>
    </xf>
    <xf numFmtId="0" fontId="7" fillId="3" borderId="84" xfId="0" applyFont="1" applyFill="1" applyBorder="1" applyProtection="1"/>
    <xf numFmtId="0" fontId="15" fillId="3" borderId="56" xfId="0" applyFont="1" applyFill="1" applyBorder="1" applyProtection="1"/>
    <xf numFmtId="164" fontId="6" fillId="5" borderId="83" xfId="0" applyNumberFormat="1" applyFont="1" applyFill="1" applyBorder="1" applyAlignment="1" applyProtection="1">
      <alignment horizontal="center"/>
    </xf>
    <xf numFmtId="0" fontId="6" fillId="3" borderId="84" xfId="0" applyFont="1" applyFill="1" applyBorder="1" applyProtection="1"/>
    <xf numFmtId="164" fontId="6" fillId="9" borderId="85" xfId="0" applyNumberFormat="1" applyFont="1" applyFill="1" applyBorder="1" applyAlignment="1" applyProtection="1">
      <alignment horizontal="center"/>
    </xf>
    <xf numFmtId="0" fontId="15" fillId="3" borderId="86" xfId="0" applyFont="1" applyFill="1" applyBorder="1" applyProtection="1"/>
    <xf numFmtId="0" fontId="6" fillId="3" borderId="87" xfId="0" applyFont="1" applyFill="1" applyBorder="1" applyProtection="1"/>
    <xf numFmtId="0" fontId="6" fillId="3" borderId="87" xfId="0" applyFont="1" applyFill="1" applyBorder="1" applyAlignment="1" applyProtection="1">
      <alignment horizontal="center"/>
    </xf>
    <xf numFmtId="164" fontId="6" fillId="7" borderId="87" xfId="0" applyNumberFormat="1" applyFont="1" applyFill="1" applyBorder="1" applyAlignment="1" applyProtection="1">
      <alignment horizontal="center"/>
    </xf>
    <xf numFmtId="164" fontId="6" fillId="7" borderId="88" xfId="0" applyNumberFormat="1" applyFont="1" applyFill="1" applyBorder="1" applyAlignment="1" applyProtection="1">
      <alignment horizontal="center"/>
    </xf>
    <xf numFmtId="0" fontId="6" fillId="3" borderId="89" xfId="0" applyFont="1" applyFill="1" applyBorder="1" applyProtection="1"/>
    <xf numFmtId="0" fontId="7" fillId="3" borderId="90" xfId="0" applyFont="1" applyFill="1" applyBorder="1" applyProtection="1"/>
    <xf numFmtId="0" fontId="6" fillId="3" borderId="90" xfId="0" applyFont="1" applyFill="1" applyBorder="1" applyProtection="1"/>
    <xf numFmtId="0" fontId="6" fillId="3" borderId="90" xfId="0" applyFont="1" applyFill="1" applyBorder="1" applyAlignment="1" applyProtection="1">
      <alignment horizontal="center"/>
    </xf>
    <xf numFmtId="0" fontId="6" fillId="3" borderId="91" xfId="0" applyFont="1" applyFill="1" applyBorder="1" applyProtection="1"/>
    <xf numFmtId="0" fontId="11" fillId="3" borderId="92" xfId="0" applyFont="1" applyFill="1" applyBorder="1" applyProtection="1"/>
    <xf numFmtId="0" fontId="11" fillId="3" borderId="93" xfId="0" applyFont="1" applyFill="1" applyBorder="1" applyProtection="1"/>
    <xf numFmtId="0" fontId="6" fillId="3" borderId="92" xfId="0" applyFont="1" applyFill="1" applyBorder="1" applyProtection="1"/>
    <xf numFmtId="0" fontId="6" fillId="3" borderId="93" xfId="0" applyFont="1" applyFill="1" applyBorder="1" applyProtection="1"/>
    <xf numFmtId="0" fontId="6" fillId="9" borderId="94" xfId="0" applyFont="1" applyFill="1" applyBorder="1" applyProtection="1"/>
    <xf numFmtId="0" fontId="6" fillId="3" borderId="94" xfId="0" applyFont="1" applyFill="1" applyBorder="1" applyProtection="1"/>
    <xf numFmtId="0" fontId="6" fillId="3" borderId="95" xfId="0" applyFont="1" applyFill="1" applyBorder="1" applyProtection="1"/>
    <xf numFmtId="0" fontId="7" fillId="3" borderId="96" xfId="0" applyFont="1" applyFill="1" applyBorder="1" applyProtection="1"/>
    <xf numFmtId="0" fontId="6" fillId="3" borderId="96" xfId="0" applyFont="1" applyFill="1" applyBorder="1" applyProtection="1"/>
    <xf numFmtId="0" fontId="6" fillId="3" borderId="96" xfId="0" applyFont="1" applyFill="1" applyBorder="1" applyAlignment="1" applyProtection="1">
      <alignment horizontal="center"/>
    </xf>
    <xf numFmtId="0" fontId="6" fillId="9" borderId="96" xfId="0" applyFont="1" applyFill="1" applyBorder="1" applyAlignment="1" applyProtection="1">
      <alignment horizontal="center"/>
    </xf>
    <xf numFmtId="0" fontId="6" fillId="9" borderId="97" xfId="0" applyFont="1" applyFill="1" applyBorder="1" applyAlignment="1" applyProtection="1">
      <alignment horizontal="center"/>
    </xf>
    <xf numFmtId="0" fontId="125" fillId="3" borderId="78" xfId="0" applyFont="1" applyFill="1" applyBorder="1" applyAlignment="1" applyProtection="1">
      <alignment horizontal="left"/>
    </xf>
    <xf numFmtId="189" fontId="93" fillId="6" borderId="21" xfId="0" applyNumberFormat="1" applyFont="1" applyFill="1" applyBorder="1" applyAlignment="1" applyProtection="1">
      <alignment horizontal="center"/>
    </xf>
    <xf numFmtId="0" fontId="11" fillId="11" borderId="1" xfId="0" applyFont="1" applyFill="1" applyBorder="1" applyAlignment="1" applyProtection="1">
      <alignment horizontal="center"/>
      <protection locked="0"/>
    </xf>
    <xf numFmtId="0" fontId="0" fillId="9" borderId="0" xfId="0" applyFill="1" applyProtection="1"/>
    <xf numFmtId="42" fontId="0" fillId="9" borderId="1" xfId="0" applyNumberFormat="1" applyFill="1" applyBorder="1" applyProtection="1"/>
    <xf numFmtId="42" fontId="92" fillId="7" borderId="1" xfId="0" applyNumberFormat="1" applyFont="1" applyFill="1" applyBorder="1" applyProtection="1"/>
    <xf numFmtId="0" fontId="111" fillId="11" borderId="80" xfId="0" applyFont="1" applyFill="1" applyBorder="1" applyAlignment="1" applyProtection="1">
      <alignment horizontal="center"/>
    </xf>
    <xf numFmtId="0" fontId="111" fillId="11" borderId="81" xfId="0" applyFont="1" applyFill="1" applyBorder="1" applyAlignment="1" applyProtection="1">
      <alignment horizontal="center"/>
    </xf>
    <xf numFmtId="0" fontId="111" fillId="9" borderId="0" xfId="0" applyFont="1" applyFill="1" applyBorder="1" applyAlignment="1" applyProtection="1">
      <alignment horizontal="center"/>
    </xf>
    <xf numFmtId="0" fontId="111" fillId="9" borderId="56" xfId="0" applyFont="1" applyFill="1" applyBorder="1" applyAlignment="1" applyProtection="1">
      <alignment horizontal="center"/>
    </xf>
    <xf numFmtId="42" fontId="92" fillId="7" borderId="83" xfId="0" applyNumberFormat="1" applyFont="1" applyFill="1" applyBorder="1" applyProtection="1"/>
    <xf numFmtId="1" fontId="111" fillId="11" borderId="0" xfId="0" applyNumberFormat="1" applyFont="1" applyFill="1" applyAlignment="1" applyProtection="1">
      <alignment horizontal="center"/>
    </xf>
    <xf numFmtId="1" fontId="108" fillId="0" borderId="37" xfId="0" applyNumberFormat="1" applyFont="1" applyBorder="1" applyProtection="1"/>
    <xf numFmtId="0" fontId="6" fillId="0" borderId="1" xfId="0" applyFont="1" applyFill="1" applyBorder="1" applyAlignment="1" applyProtection="1">
      <alignment horizontal="center"/>
    </xf>
    <xf numFmtId="0" fontId="6" fillId="0" borderId="14" xfId="0" applyFont="1" applyFill="1" applyBorder="1" applyAlignment="1" applyProtection="1">
      <alignment horizontal="center"/>
    </xf>
    <xf numFmtId="0" fontId="95" fillId="9" borderId="0" xfId="0" applyFont="1" applyFill="1" applyBorder="1" applyAlignment="1" applyProtection="1">
      <alignment horizontal="left"/>
    </xf>
    <xf numFmtId="0" fontId="7" fillId="9" borderId="49" xfId="0" applyFont="1" applyFill="1" applyBorder="1" applyAlignment="1" applyProtection="1">
      <alignment horizontal="left"/>
    </xf>
    <xf numFmtId="0" fontId="6" fillId="9" borderId="74" xfId="0" applyFont="1" applyFill="1" applyBorder="1" applyAlignment="1" applyProtection="1"/>
    <xf numFmtId="0" fontId="6" fillId="9" borderId="74" xfId="0" applyFont="1" applyFill="1" applyBorder="1" applyAlignment="1" applyProtection="1">
      <alignment horizontal="center"/>
    </xf>
    <xf numFmtId="0" fontId="6" fillId="9" borderId="49" xfId="0" applyFont="1" applyFill="1" applyBorder="1" applyAlignment="1" applyProtection="1">
      <alignment horizontal="left"/>
    </xf>
    <xf numFmtId="1" fontId="96" fillId="9" borderId="75" xfId="0" applyNumberFormat="1" applyFont="1" applyFill="1" applyBorder="1" applyProtection="1"/>
    <xf numFmtId="1" fontId="96" fillId="11" borderId="37" xfId="0" applyNumberFormat="1" applyFont="1" applyFill="1" applyBorder="1" applyProtection="1"/>
    <xf numFmtId="164" fontId="6" fillId="11" borderId="6" xfId="0" applyNumberFormat="1" applyFont="1" applyFill="1" applyBorder="1" applyAlignment="1" applyProtection="1">
      <alignment horizontal="center"/>
    </xf>
    <xf numFmtId="164" fontId="41" fillId="11" borderId="6" xfId="0" applyNumberFormat="1" applyFont="1" applyFill="1" applyBorder="1" applyAlignment="1" applyProtection="1"/>
    <xf numFmtId="42" fontId="93" fillId="11" borderId="6" xfId="0" applyNumberFormat="1" applyFont="1" applyFill="1" applyBorder="1" applyAlignment="1" applyProtection="1">
      <alignment horizontal="center"/>
    </xf>
    <xf numFmtId="0" fontId="11" fillId="11" borderId="6" xfId="0" applyFont="1" applyFill="1" applyBorder="1" applyProtection="1"/>
    <xf numFmtId="0" fontId="16" fillId="2" borderId="50" xfId="0" applyFont="1" applyFill="1" applyBorder="1" applyProtection="1"/>
    <xf numFmtId="0" fontId="34" fillId="3" borderId="14" xfId="0" applyFont="1" applyFill="1" applyBorder="1" applyAlignment="1" applyProtection="1">
      <alignment horizontal="center"/>
    </xf>
    <xf numFmtId="167" fontId="34" fillId="4" borderId="14" xfId="0" applyNumberFormat="1" applyFont="1" applyFill="1" applyBorder="1" applyAlignment="1" applyProtection="1">
      <alignment horizontal="center"/>
    </xf>
    <xf numFmtId="0" fontId="7" fillId="9" borderId="0" xfId="0" applyFont="1" applyFill="1" applyBorder="1" applyAlignment="1" applyProtection="1">
      <alignment horizontal="center"/>
    </xf>
    <xf numFmtId="42" fontId="6" fillId="8" borderId="0" xfId="0" applyNumberFormat="1" applyFont="1" applyFill="1" applyBorder="1" applyAlignment="1" applyProtection="1">
      <alignment horizontal="center"/>
    </xf>
    <xf numFmtId="0" fontId="6" fillId="0" borderId="0" xfId="0" applyFont="1" applyFill="1" applyBorder="1" applyAlignment="1" applyProtection="1">
      <alignment horizontal="center"/>
      <protection locked="0"/>
    </xf>
    <xf numFmtId="44" fontId="6" fillId="7" borderId="49" xfId="0" applyNumberFormat="1" applyFont="1" applyFill="1" applyBorder="1" applyAlignment="1" applyProtection="1">
      <alignment horizontal="center"/>
    </xf>
    <xf numFmtId="42" fontId="6" fillId="9" borderId="0" xfId="0" applyNumberFormat="1" applyFont="1" applyFill="1" applyBorder="1" applyAlignment="1" applyProtection="1">
      <alignment horizontal="center"/>
    </xf>
    <xf numFmtId="0" fontId="91" fillId="10" borderId="0" xfId="0" applyFont="1" applyFill="1" applyBorder="1" applyAlignment="1" applyProtection="1">
      <alignment horizontal="center"/>
    </xf>
    <xf numFmtId="0" fontId="91" fillId="8" borderId="0" xfId="0" applyFont="1" applyFill="1" applyBorder="1" applyAlignment="1" applyProtection="1">
      <alignment horizontal="center"/>
    </xf>
    <xf numFmtId="0" fontId="42" fillId="8" borderId="0" xfId="0" applyFont="1" applyFill="1" applyBorder="1" applyAlignment="1" applyProtection="1">
      <alignment horizontal="center"/>
    </xf>
    <xf numFmtId="0" fontId="6" fillId="9" borderId="0" xfId="0" applyFont="1" applyFill="1" applyBorder="1" applyAlignment="1" applyProtection="1">
      <alignment horizontal="right"/>
    </xf>
    <xf numFmtId="0" fontId="91" fillId="10" borderId="22" xfId="0" applyFont="1" applyFill="1" applyBorder="1" applyAlignment="1" applyProtection="1">
      <alignment horizontal="center"/>
    </xf>
    <xf numFmtId="0" fontId="6" fillId="7" borderId="0" xfId="0" applyFont="1" applyFill="1" applyBorder="1" applyAlignment="1" applyProtection="1">
      <alignment horizontal="center"/>
    </xf>
    <xf numFmtId="0" fontId="42" fillId="9" borderId="47" xfId="0" applyFont="1" applyFill="1" applyBorder="1" applyProtection="1"/>
    <xf numFmtId="0" fontId="42" fillId="9" borderId="47" xfId="0" applyFont="1" applyFill="1" applyBorder="1" applyAlignment="1" applyProtection="1">
      <alignment horizontal="center"/>
    </xf>
    <xf numFmtId="44" fontId="91" fillId="10" borderId="0" xfId="0" applyNumberFormat="1" applyFont="1" applyFill="1" applyBorder="1" applyAlignment="1" applyProtection="1">
      <alignment horizontal="center"/>
    </xf>
    <xf numFmtId="0" fontId="113" fillId="11" borderId="51" xfId="0" applyFont="1" applyFill="1" applyBorder="1" applyProtection="1"/>
    <xf numFmtId="164" fontId="114" fillId="11" borderId="51" xfId="0" applyNumberFormat="1" applyFont="1" applyFill="1" applyBorder="1" applyAlignment="1" applyProtection="1"/>
    <xf numFmtId="0" fontId="112" fillId="11" borderId="98" xfId="0" applyFont="1" applyFill="1" applyBorder="1" applyProtection="1"/>
    <xf numFmtId="0" fontId="112" fillId="11" borderId="99" xfId="0" applyFont="1" applyFill="1" applyBorder="1" applyProtection="1"/>
    <xf numFmtId="0" fontId="113" fillId="11" borderId="99" xfId="0" applyFont="1" applyFill="1" applyBorder="1" applyProtection="1"/>
    <xf numFmtId="164" fontId="114" fillId="11" borderId="99" xfId="0" applyNumberFormat="1" applyFont="1" applyFill="1" applyBorder="1" applyAlignment="1" applyProtection="1"/>
    <xf numFmtId="0" fontId="112" fillId="11" borderId="100" xfId="0" applyFont="1" applyFill="1" applyBorder="1" applyProtection="1"/>
    <xf numFmtId="0" fontId="112" fillId="11" borderId="101" xfId="0" applyFont="1" applyFill="1" applyBorder="1" applyProtection="1"/>
    <xf numFmtId="0" fontId="112" fillId="11" borderId="102" xfId="0" applyFont="1" applyFill="1" applyBorder="1" applyProtection="1"/>
    <xf numFmtId="0" fontId="112" fillId="11" borderId="103" xfId="0" applyFont="1" applyFill="1" applyBorder="1" applyProtection="1"/>
    <xf numFmtId="0" fontId="112" fillId="11" borderId="104" xfId="0" applyFont="1" applyFill="1" applyBorder="1" applyProtection="1"/>
    <xf numFmtId="0" fontId="113" fillId="11" borderId="104" xfId="0" applyFont="1" applyFill="1" applyBorder="1" applyProtection="1"/>
    <xf numFmtId="164" fontId="114" fillId="11" borderId="104" xfId="0" applyNumberFormat="1" applyFont="1" applyFill="1" applyBorder="1" applyAlignment="1" applyProtection="1"/>
    <xf numFmtId="0" fontId="112" fillId="11" borderId="105" xfId="0" applyFont="1" applyFill="1" applyBorder="1" applyProtection="1"/>
    <xf numFmtId="0" fontId="6" fillId="0" borderId="0" xfId="0" applyFont="1" applyBorder="1"/>
    <xf numFmtId="0" fontId="0" fillId="0" borderId="0" xfId="0" applyBorder="1"/>
    <xf numFmtId="0" fontId="107" fillId="0" borderId="0" xfId="0" applyFont="1" applyBorder="1"/>
    <xf numFmtId="0" fontId="107" fillId="0" borderId="0" xfId="0" applyFont="1" applyFill="1" applyBorder="1" applyAlignment="1" applyProtection="1">
      <alignment horizontal="left"/>
    </xf>
    <xf numFmtId="0" fontId="6" fillId="11" borderId="42" xfId="0" applyFont="1" applyFill="1" applyBorder="1" applyAlignment="1" applyProtection="1">
      <alignment horizontal="center"/>
    </xf>
    <xf numFmtId="0" fontId="91" fillId="9" borderId="0" xfId="0" applyFont="1" applyFill="1" applyBorder="1" applyAlignment="1" applyProtection="1">
      <alignment horizontal="center"/>
    </xf>
    <xf numFmtId="0" fontId="15" fillId="9" borderId="0" xfId="0" applyFont="1" applyFill="1" applyBorder="1" applyAlignment="1" applyProtection="1">
      <alignment horizontal="center"/>
    </xf>
    <xf numFmtId="42" fontId="0" fillId="9" borderId="0" xfId="0" applyNumberFormat="1" applyFill="1" applyBorder="1" applyProtection="1"/>
    <xf numFmtId="42" fontId="92" fillId="7" borderId="0" xfId="0" applyNumberFormat="1" applyFont="1" applyFill="1" applyBorder="1" applyProtection="1"/>
    <xf numFmtId="42" fontId="0" fillId="9" borderId="56" xfId="0" applyNumberFormat="1" applyFill="1" applyBorder="1" applyProtection="1"/>
    <xf numFmtId="164" fontId="99" fillId="10" borderId="9" xfId="0" applyNumberFormat="1" applyFont="1" applyFill="1" applyBorder="1" applyAlignment="1" applyProtection="1">
      <alignment horizontal="center"/>
    </xf>
    <xf numFmtId="0" fontId="128" fillId="0" borderId="0" xfId="0" applyFont="1" applyFill="1" applyBorder="1" applyProtection="1"/>
    <xf numFmtId="1" fontId="69" fillId="0" borderId="53" xfId="0" applyNumberFormat="1" applyFont="1" applyFill="1" applyBorder="1" applyAlignment="1" applyProtection="1">
      <alignment horizontal="center"/>
    </xf>
    <xf numFmtId="170" fontId="46" fillId="0" borderId="53" xfId="0" applyNumberFormat="1" applyFont="1" applyFill="1" applyBorder="1" applyProtection="1"/>
    <xf numFmtId="164" fontId="34" fillId="9" borderId="9" xfId="0" applyNumberFormat="1" applyFont="1" applyFill="1" applyBorder="1" applyAlignment="1" applyProtection="1">
      <alignment horizontal="center"/>
    </xf>
    <xf numFmtId="42" fontId="118" fillId="10" borderId="1" xfId="0" applyNumberFormat="1" applyFont="1" applyFill="1" applyBorder="1" applyProtection="1"/>
    <xf numFmtId="164" fontId="6" fillId="13" borderId="1" xfId="0" applyNumberFormat="1" applyFont="1" applyFill="1" applyBorder="1" applyProtection="1">
      <protection locked="0"/>
    </xf>
    <xf numFmtId="0" fontId="6" fillId="3" borderId="20" xfId="0" applyFont="1" applyFill="1" applyBorder="1" applyAlignment="1" applyProtection="1">
      <alignment horizontal="center"/>
    </xf>
    <xf numFmtId="0" fontId="116" fillId="11" borderId="0" xfId="0" applyFont="1" applyFill="1" applyBorder="1" applyAlignment="1" applyProtection="1">
      <alignment horizontal="center"/>
    </xf>
    <xf numFmtId="0" fontId="6" fillId="9" borderId="1" xfId="0" applyFont="1" applyFill="1" applyBorder="1" applyProtection="1">
      <protection locked="0"/>
    </xf>
    <xf numFmtId="0" fontId="116" fillId="9" borderId="0" xfId="0" applyFont="1" applyFill="1" applyBorder="1" applyAlignment="1" applyProtection="1">
      <alignment horizontal="center"/>
    </xf>
    <xf numFmtId="0" fontId="7" fillId="3" borderId="20" xfId="0" applyFont="1" applyFill="1" applyBorder="1" applyProtection="1"/>
    <xf numFmtId="0" fontId="6" fillId="3" borderId="20" xfId="0" applyFont="1" applyFill="1" applyBorder="1" applyProtection="1"/>
    <xf numFmtId="0" fontId="11" fillId="3" borderId="106" xfId="0" applyFont="1" applyFill="1" applyBorder="1" applyProtection="1"/>
    <xf numFmtId="0" fontId="7" fillId="3" borderId="107" xfId="0" applyFont="1" applyFill="1" applyBorder="1" applyProtection="1"/>
    <xf numFmtId="0" fontId="6" fillId="3" borderId="107" xfId="0" applyFont="1" applyFill="1" applyBorder="1" applyProtection="1"/>
    <xf numFmtId="0" fontId="6" fillId="3" borderId="107" xfId="0" applyFont="1" applyFill="1" applyBorder="1" applyAlignment="1" applyProtection="1">
      <alignment horizontal="center"/>
    </xf>
    <xf numFmtId="0" fontId="6" fillId="3" borderId="108" xfId="0" applyFont="1" applyFill="1" applyBorder="1" applyAlignment="1" applyProtection="1">
      <alignment horizontal="center"/>
    </xf>
    <xf numFmtId="0" fontId="11" fillId="3" borderId="109" xfId="0" applyFont="1" applyFill="1" applyBorder="1" applyProtection="1"/>
    <xf numFmtId="0" fontId="11" fillId="3" borderId="110" xfId="0" applyFont="1" applyFill="1" applyBorder="1" applyProtection="1"/>
    <xf numFmtId="0" fontId="11" fillId="3" borderId="111" xfId="0" applyFont="1" applyFill="1" applyBorder="1" applyProtection="1"/>
    <xf numFmtId="0" fontId="11" fillId="3" borderId="112" xfId="0" applyFont="1" applyFill="1" applyBorder="1" applyProtection="1"/>
    <xf numFmtId="0" fontId="11" fillId="3" borderId="113" xfId="0" applyFont="1" applyFill="1" applyBorder="1" applyProtection="1"/>
    <xf numFmtId="0" fontId="7" fillId="3" borderId="114" xfId="0" applyFont="1" applyFill="1" applyBorder="1" applyProtection="1"/>
    <xf numFmtId="0" fontId="6" fillId="3" borderId="114" xfId="0" applyFont="1" applyFill="1" applyBorder="1" applyProtection="1"/>
    <xf numFmtId="0" fontId="6" fillId="3" borderId="114" xfId="0" applyFont="1" applyFill="1" applyBorder="1" applyAlignment="1" applyProtection="1">
      <alignment horizontal="center"/>
    </xf>
    <xf numFmtId="0" fontId="11" fillId="3" borderId="115" xfId="0" applyFont="1" applyFill="1" applyBorder="1" applyProtection="1"/>
    <xf numFmtId="42" fontId="124" fillId="14" borderId="22" xfId="0" applyNumberFormat="1" applyFont="1" applyFill="1" applyBorder="1" applyProtection="1"/>
    <xf numFmtId="42" fontId="91" fillId="14" borderId="22" xfId="0" applyNumberFormat="1" applyFont="1" applyFill="1" applyBorder="1" applyProtection="1"/>
    <xf numFmtId="44" fontId="91" fillId="14" borderId="22" xfId="0" applyNumberFormat="1" applyFont="1" applyFill="1" applyBorder="1" applyProtection="1"/>
    <xf numFmtId="0" fontId="122" fillId="3" borderId="1" xfId="0" applyFont="1" applyFill="1" applyBorder="1" applyAlignment="1" applyProtection="1">
      <alignment horizontal="left"/>
    </xf>
    <xf numFmtId="10" fontId="92" fillId="0" borderId="0" xfId="0" applyNumberFormat="1" applyFont="1" applyProtection="1"/>
    <xf numFmtId="178" fontId="92" fillId="0" borderId="0" xfId="0" applyNumberFormat="1" applyFont="1" applyProtection="1"/>
    <xf numFmtId="0" fontId="92" fillId="0" borderId="0" xfId="0" applyFont="1" applyAlignment="1" applyProtection="1">
      <alignment horizontal="center"/>
    </xf>
    <xf numFmtId="0" fontId="6" fillId="2" borderId="119" xfId="0" applyNumberFormat="1" applyFont="1" applyFill="1" applyBorder="1" applyProtection="1">
      <protection locked="0"/>
    </xf>
    <xf numFmtId="0" fontId="11" fillId="0" borderId="120" xfId="0" applyFont="1" applyFill="1" applyBorder="1" applyProtection="1">
      <protection locked="0"/>
    </xf>
    <xf numFmtId="44" fontId="43" fillId="9" borderId="1" xfId="0" applyNumberFormat="1" applyFont="1" applyFill="1" applyBorder="1" applyAlignment="1" applyProtection="1"/>
    <xf numFmtId="44" fontId="43" fillId="9" borderId="14" xfId="0" applyNumberFormat="1" applyFont="1" applyFill="1" applyBorder="1" applyAlignment="1" applyProtection="1"/>
    <xf numFmtId="44" fontId="43" fillId="4" borderId="14" xfId="0" applyNumberFormat="1" applyFont="1" applyFill="1" applyBorder="1" applyAlignment="1" applyProtection="1"/>
    <xf numFmtId="0" fontId="7" fillId="3" borderId="1" xfId="0" applyFont="1" applyFill="1" applyBorder="1" applyAlignment="1" applyProtection="1">
      <alignment horizontal="right"/>
    </xf>
    <xf numFmtId="0" fontId="11" fillId="3" borderId="52" xfId="0" applyFont="1" applyFill="1" applyBorder="1" applyProtection="1"/>
    <xf numFmtId="0" fontId="11" fillId="3" borderId="33" xfId="0" applyFont="1" applyFill="1" applyBorder="1" applyProtection="1"/>
    <xf numFmtId="0" fontId="11" fillId="3" borderId="121" xfId="0" applyFont="1" applyFill="1" applyBorder="1" applyProtection="1"/>
    <xf numFmtId="0" fontId="11" fillId="3" borderId="122" xfId="0" applyFont="1" applyFill="1" applyBorder="1" applyProtection="1"/>
    <xf numFmtId="164" fontId="11" fillId="9" borderId="1" xfId="0" applyNumberFormat="1" applyFont="1" applyFill="1" applyBorder="1" applyAlignment="1" applyProtection="1">
      <alignment horizontal="center"/>
      <protection locked="0"/>
    </xf>
    <xf numFmtId="0" fontId="10" fillId="3" borderId="1" xfId="0" applyFont="1" applyFill="1" applyBorder="1" applyProtection="1"/>
    <xf numFmtId="164" fontId="43" fillId="9" borderId="1" xfId="0" applyNumberFormat="1" applyFont="1" applyFill="1" applyBorder="1" applyAlignment="1" applyProtection="1">
      <alignment horizontal="center"/>
    </xf>
    <xf numFmtId="164" fontId="6" fillId="9" borderId="1" xfId="0" applyNumberFormat="1" applyFont="1" applyFill="1" applyBorder="1" applyAlignment="1" applyProtection="1">
      <alignment horizontal="center"/>
      <protection locked="0"/>
    </xf>
    <xf numFmtId="0" fontId="11" fillId="9" borderId="1" xfId="0" applyFont="1" applyFill="1" applyBorder="1" applyProtection="1"/>
    <xf numFmtId="166" fontId="6" fillId="9" borderId="1" xfId="0" applyNumberFormat="1" applyFont="1" applyFill="1" applyBorder="1" applyProtection="1"/>
    <xf numFmtId="164" fontId="64" fillId="9" borderId="1" xfId="0" applyNumberFormat="1" applyFont="1" applyFill="1" applyBorder="1" applyAlignment="1" applyProtection="1">
      <alignment horizontal="center"/>
    </xf>
    <xf numFmtId="0" fontId="62" fillId="3" borderId="12" xfId="0" applyFont="1" applyFill="1" applyBorder="1" applyAlignment="1" applyProtection="1">
      <alignment horizontal="left"/>
    </xf>
    <xf numFmtId="0" fontId="62" fillId="3" borderId="32" xfId="0" applyFont="1" applyFill="1" applyBorder="1" applyAlignment="1" applyProtection="1">
      <alignment horizontal="left"/>
    </xf>
    <xf numFmtId="0" fontId="62" fillId="3" borderId="1" xfId="0" applyFont="1" applyFill="1" applyBorder="1" applyAlignment="1" applyProtection="1">
      <alignment horizontal="left"/>
    </xf>
    <xf numFmtId="0" fontId="73" fillId="3" borderId="1" xfId="0" applyFont="1" applyFill="1" applyBorder="1" applyAlignment="1" applyProtection="1">
      <alignment horizontal="left"/>
    </xf>
    <xf numFmtId="0" fontId="92" fillId="0" borderId="0" xfId="0" applyFont="1" applyFill="1" applyAlignment="1" applyProtection="1">
      <alignment horizontal="left"/>
    </xf>
    <xf numFmtId="0" fontId="25" fillId="2" borderId="5" xfId="0" applyFont="1" applyFill="1" applyBorder="1" applyAlignment="1" applyProtection="1"/>
    <xf numFmtId="0" fontId="25" fillId="3" borderId="1" xfId="0" applyFont="1" applyFill="1" applyBorder="1" applyAlignment="1" applyProtection="1"/>
    <xf numFmtId="0" fontId="25" fillId="3" borderId="0" xfId="0" applyFont="1" applyFill="1" applyBorder="1" applyAlignment="1" applyProtection="1"/>
    <xf numFmtId="169" fontId="11" fillId="9" borderId="0" xfId="0" applyNumberFormat="1" applyFont="1" applyFill="1" applyBorder="1" applyProtection="1"/>
    <xf numFmtId="169" fontId="74" fillId="9" borderId="1" xfId="0" applyNumberFormat="1" applyFont="1" applyFill="1" applyBorder="1" applyAlignment="1" applyProtection="1">
      <alignment horizontal="center"/>
    </xf>
    <xf numFmtId="169" fontId="11" fillId="9" borderId="0" xfId="0" applyNumberFormat="1" applyFont="1" applyFill="1" applyBorder="1" applyAlignment="1" applyProtection="1">
      <alignment horizontal="center"/>
    </xf>
    <xf numFmtId="0" fontId="73" fillId="9" borderId="1" xfId="0" applyFont="1" applyFill="1" applyBorder="1" applyAlignment="1" applyProtection="1">
      <alignment horizontal="left"/>
    </xf>
    <xf numFmtId="169" fontId="11" fillId="9" borderId="7" xfId="0" applyNumberFormat="1" applyFont="1" applyFill="1" applyBorder="1" applyAlignment="1" applyProtection="1">
      <alignment horizontal="center"/>
    </xf>
    <xf numFmtId="0" fontId="11" fillId="9" borderId="0" xfId="0" applyNumberFormat="1" applyFont="1" applyFill="1" applyBorder="1" applyAlignment="1" applyProtection="1">
      <alignment horizontal="center"/>
    </xf>
    <xf numFmtId="0" fontId="17" fillId="9" borderId="0" xfId="0" applyNumberFormat="1" applyFont="1" applyFill="1" applyBorder="1" applyAlignment="1" applyProtection="1">
      <alignment horizontal="center"/>
    </xf>
    <xf numFmtId="0" fontId="11" fillId="9" borderId="1" xfId="0" applyNumberFormat="1" applyFont="1" applyFill="1" applyBorder="1" applyAlignment="1" applyProtection="1">
      <alignment horizontal="center"/>
    </xf>
    <xf numFmtId="1" fontId="60" fillId="9" borderId="1" xfId="0" applyNumberFormat="1" applyFont="1" applyFill="1" applyBorder="1" applyAlignment="1" applyProtection="1">
      <alignment horizontal="center"/>
    </xf>
    <xf numFmtId="1" fontId="15" fillId="9" borderId="1" xfId="0" applyNumberFormat="1" applyFont="1" applyFill="1" applyBorder="1" applyAlignment="1" applyProtection="1">
      <alignment horizontal="center"/>
    </xf>
    <xf numFmtId="169" fontId="11" fillId="9" borderId="1" xfId="0" applyNumberFormat="1" applyFont="1" applyFill="1" applyBorder="1" applyAlignment="1" applyProtection="1">
      <alignment horizontal="center"/>
      <protection locked="0"/>
    </xf>
    <xf numFmtId="169" fontId="6" fillId="9" borderId="1" xfId="0" applyNumberFormat="1" applyFont="1" applyFill="1" applyBorder="1" applyAlignment="1" applyProtection="1">
      <alignment horizontal="center"/>
      <protection locked="0"/>
    </xf>
    <xf numFmtId="0" fontId="12" fillId="9" borderId="0" xfId="0" applyNumberFormat="1" applyFont="1" applyFill="1" applyBorder="1" applyAlignment="1" applyProtection="1">
      <alignment horizontal="center"/>
    </xf>
    <xf numFmtId="0" fontId="62" fillId="9" borderId="32" xfId="0" applyFont="1" applyFill="1" applyBorder="1" applyAlignment="1" applyProtection="1">
      <alignment horizontal="left"/>
    </xf>
    <xf numFmtId="169" fontId="6" fillId="9" borderId="0" xfId="0" applyNumberFormat="1" applyFont="1" applyFill="1" applyBorder="1" applyProtection="1"/>
    <xf numFmtId="0" fontId="11" fillId="11" borderId="3" xfId="0" applyNumberFormat="1" applyFont="1" applyFill="1" applyBorder="1" applyAlignment="1" applyProtection="1">
      <alignment horizontal="center"/>
    </xf>
    <xf numFmtId="0" fontId="11" fillId="11" borderId="0" xfId="0" applyNumberFormat="1" applyFont="1" applyFill="1" applyBorder="1" applyAlignment="1" applyProtection="1">
      <alignment horizontal="center"/>
    </xf>
    <xf numFmtId="0" fontId="72" fillId="11" borderId="0" xfId="0" applyNumberFormat="1" applyFont="1" applyFill="1" applyBorder="1" applyAlignment="1" applyProtection="1">
      <alignment horizontal="center"/>
    </xf>
    <xf numFmtId="0" fontId="28" fillId="11" borderId="0" xfId="0" applyNumberFormat="1" applyFont="1" applyFill="1" applyBorder="1" applyAlignment="1" applyProtection="1">
      <alignment horizontal="center"/>
    </xf>
    <xf numFmtId="0" fontId="17" fillId="11" borderId="0" xfId="0" applyNumberFormat="1" applyFont="1" applyFill="1" applyBorder="1" applyAlignment="1" applyProtection="1">
      <alignment horizontal="center"/>
    </xf>
    <xf numFmtId="1" fontId="74" fillId="4" borderId="1" xfId="0" applyNumberFormat="1" applyFont="1" applyFill="1" applyBorder="1" applyAlignment="1" applyProtection="1">
      <alignment horizontal="center"/>
    </xf>
    <xf numFmtId="1" fontId="11" fillId="2" borderId="1" xfId="2" applyNumberFormat="1" applyFont="1" applyFill="1" applyBorder="1" applyAlignment="1" applyProtection="1">
      <alignment horizontal="center"/>
      <protection locked="0"/>
    </xf>
    <xf numFmtId="172" fontId="11" fillId="5" borderId="1" xfId="3" applyNumberFormat="1" applyFont="1" applyFill="1" applyBorder="1" applyProtection="1"/>
    <xf numFmtId="0" fontId="11" fillId="9" borderId="0" xfId="0" applyNumberFormat="1" applyFont="1" applyFill="1" applyProtection="1"/>
    <xf numFmtId="164" fontId="11" fillId="9" borderId="0" xfId="0" applyNumberFormat="1" applyFont="1" applyFill="1" applyProtection="1"/>
    <xf numFmtId="0" fontId="11" fillId="9" borderId="0" xfId="0" applyNumberFormat="1" applyFont="1" applyFill="1" applyBorder="1" applyProtection="1"/>
    <xf numFmtId="169" fontId="11" fillId="9" borderId="0" xfId="0" applyNumberFormat="1" applyFont="1" applyFill="1" applyAlignment="1" applyProtection="1">
      <alignment horizontal="center"/>
    </xf>
    <xf numFmtId="0" fontId="11" fillId="9" borderId="0" xfId="0" applyNumberFormat="1" applyFont="1" applyFill="1" applyAlignment="1" applyProtection="1">
      <alignment horizontal="center"/>
    </xf>
    <xf numFmtId="169" fontId="11" fillId="9" borderId="0" xfId="0" applyNumberFormat="1" applyFont="1" applyFill="1" applyProtection="1"/>
    <xf numFmtId="1" fontId="11" fillId="9" borderId="0" xfId="0" applyNumberFormat="1" applyFont="1" applyFill="1" applyProtection="1"/>
    <xf numFmtId="44" fontId="11" fillId="3" borderId="0" xfId="0" applyNumberFormat="1" applyFont="1" applyFill="1" applyBorder="1" applyProtection="1"/>
    <xf numFmtId="42" fontId="11" fillId="3" borderId="0" xfId="0" applyNumberFormat="1" applyFont="1" applyFill="1" applyBorder="1" applyProtection="1"/>
    <xf numFmtId="172" fontId="11" fillId="3" borderId="0" xfId="0" applyNumberFormat="1" applyFont="1" applyFill="1" applyBorder="1" applyProtection="1"/>
    <xf numFmtId="9" fontId="11" fillId="3" borderId="0" xfId="0" applyNumberFormat="1" applyFont="1" applyFill="1" applyBorder="1" applyProtection="1"/>
    <xf numFmtId="42" fontId="11" fillId="3" borderId="0" xfId="0" applyNumberFormat="1" applyFont="1" applyFill="1" applyBorder="1" applyAlignment="1" applyProtection="1">
      <alignment horizontal="center"/>
    </xf>
    <xf numFmtId="169" fontId="11" fillId="11" borderId="0" xfId="0" applyNumberFormat="1" applyFont="1" applyFill="1" applyBorder="1" applyAlignment="1" applyProtection="1">
      <alignment horizontal="center"/>
    </xf>
    <xf numFmtId="42" fontId="74" fillId="4" borderId="1" xfId="0" applyNumberFormat="1" applyFont="1" applyFill="1" applyBorder="1" applyAlignment="1" applyProtection="1">
      <alignment horizontal="center"/>
    </xf>
    <xf numFmtId="42" fontId="34" fillId="4" borderId="1" xfId="0" applyNumberFormat="1" applyFont="1" applyFill="1" applyBorder="1" applyAlignment="1" applyProtection="1">
      <alignment horizontal="center"/>
    </xf>
    <xf numFmtId="42" fontId="11" fillId="5" borderId="1" xfId="0" applyNumberFormat="1" applyFont="1" applyFill="1" applyBorder="1" applyAlignment="1" applyProtection="1">
      <alignment horizontal="center"/>
    </xf>
    <xf numFmtId="0" fontId="129" fillId="2" borderId="5" xfId="0" applyFont="1" applyFill="1" applyBorder="1" applyAlignment="1" applyProtection="1"/>
    <xf numFmtId="0" fontId="129" fillId="3" borderId="1" xfId="0" applyFont="1" applyFill="1" applyBorder="1" applyAlignment="1" applyProtection="1"/>
    <xf numFmtId="0" fontId="130" fillId="3" borderId="1" xfId="0" applyFont="1" applyFill="1" applyBorder="1" applyAlignment="1" applyProtection="1">
      <alignment horizontal="left"/>
    </xf>
    <xf numFmtId="0" fontId="131" fillId="3" borderId="1" xfId="0" applyFont="1" applyFill="1" applyBorder="1" applyAlignment="1" applyProtection="1">
      <alignment horizontal="left"/>
    </xf>
    <xf numFmtId="0" fontId="131" fillId="9" borderId="1" xfId="0" applyFont="1" applyFill="1" applyBorder="1" applyAlignment="1" applyProtection="1">
      <alignment horizontal="left"/>
    </xf>
    <xf numFmtId="0" fontId="130" fillId="9" borderId="0" xfId="0" applyFont="1" applyFill="1" applyBorder="1" applyAlignment="1" applyProtection="1">
      <alignment horizontal="left"/>
    </xf>
    <xf numFmtId="0" fontId="132" fillId="9" borderId="0" xfId="0" applyFont="1" applyFill="1" applyBorder="1" applyAlignment="1" applyProtection="1">
      <alignment horizontal="left"/>
    </xf>
    <xf numFmtId="0" fontId="132" fillId="9" borderId="0" xfId="0" applyFont="1" applyFill="1" applyBorder="1" applyAlignment="1" applyProtection="1">
      <alignment horizontal="center"/>
    </xf>
    <xf numFmtId="1" fontId="130" fillId="9" borderId="0" xfId="0" applyNumberFormat="1" applyFont="1" applyFill="1" applyBorder="1" applyAlignment="1" applyProtection="1">
      <alignment horizontal="center"/>
    </xf>
    <xf numFmtId="0" fontId="130" fillId="9" borderId="0" xfId="0" applyFont="1" applyFill="1" applyBorder="1" applyAlignment="1" applyProtection="1">
      <alignment horizontal="center"/>
    </xf>
    <xf numFmtId="0" fontId="105" fillId="9" borderId="33" xfId="0" applyFont="1" applyFill="1" applyBorder="1" applyAlignment="1" applyProtection="1">
      <alignment horizontal="center"/>
    </xf>
    <xf numFmtId="0" fontId="92" fillId="11" borderId="123" xfId="0" applyFont="1" applyFill="1" applyBorder="1" applyAlignment="1" applyProtection="1">
      <alignment horizontal="center"/>
    </xf>
    <xf numFmtId="164" fontId="105" fillId="9" borderId="0" xfId="0" applyNumberFormat="1" applyFont="1" applyFill="1" applyBorder="1" applyAlignment="1" applyProtection="1">
      <alignment horizontal="center"/>
    </xf>
    <xf numFmtId="0" fontId="92" fillId="9" borderId="0" xfId="0" applyFont="1" applyFill="1" applyBorder="1" applyAlignment="1" applyProtection="1">
      <alignment horizontal="center"/>
    </xf>
    <xf numFmtId="2" fontId="105" fillId="9" borderId="0" xfId="0" applyNumberFormat="1" applyFont="1" applyFill="1" applyBorder="1" applyAlignment="1" applyProtection="1">
      <alignment horizontal="center"/>
    </xf>
    <xf numFmtId="0" fontId="105" fillId="9" borderId="0" xfId="0" applyFont="1" applyFill="1" applyBorder="1" applyAlignment="1" applyProtection="1">
      <alignment horizontal="center"/>
    </xf>
    <xf numFmtId="0" fontId="92" fillId="9" borderId="0" xfId="0" applyNumberFormat="1" applyFont="1" applyFill="1" applyBorder="1" applyAlignment="1" applyProtection="1">
      <alignment horizontal="center"/>
    </xf>
    <xf numFmtId="0" fontId="105" fillId="9" borderId="0" xfId="0" applyNumberFormat="1" applyFont="1" applyFill="1" applyBorder="1" applyAlignment="1" applyProtection="1">
      <alignment horizontal="center"/>
    </xf>
    <xf numFmtId="170" fontId="92" fillId="9" borderId="0" xfId="0" applyNumberFormat="1" applyFont="1" applyFill="1" applyBorder="1" applyAlignment="1" applyProtection="1">
      <alignment horizontal="center"/>
    </xf>
    <xf numFmtId="169" fontId="92" fillId="9" borderId="0" xfId="0" applyNumberFormat="1" applyFont="1" applyFill="1" applyBorder="1" applyAlignment="1" applyProtection="1">
      <alignment horizontal="center"/>
    </xf>
    <xf numFmtId="1" fontId="92" fillId="9" borderId="0" xfId="0" applyNumberFormat="1" applyFont="1" applyFill="1" applyBorder="1" applyAlignment="1" applyProtection="1">
      <alignment horizontal="center"/>
    </xf>
    <xf numFmtId="0" fontId="92" fillId="9" borderId="0" xfId="0" applyFont="1" applyFill="1" applyBorder="1" applyAlignment="1" applyProtection="1"/>
    <xf numFmtId="0" fontId="129" fillId="9" borderId="0" xfId="0" applyFont="1" applyFill="1" applyBorder="1" applyAlignment="1" applyProtection="1"/>
    <xf numFmtId="170" fontId="129" fillId="3" borderId="0" xfId="0" applyNumberFormat="1" applyFont="1" applyFill="1" applyBorder="1" applyAlignment="1" applyProtection="1">
      <alignment horizontal="center"/>
    </xf>
    <xf numFmtId="0" fontId="129" fillId="3" borderId="0" xfId="0" applyFont="1" applyFill="1" applyBorder="1" applyAlignment="1" applyProtection="1"/>
    <xf numFmtId="0" fontId="129" fillId="2" borderId="5" xfId="0" applyFont="1" applyFill="1" applyBorder="1" applyProtection="1"/>
    <xf numFmtId="0" fontId="129" fillId="3" borderId="1" xfId="0" applyFont="1" applyFill="1" applyBorder="1" applyProtection="1"/>
    <xf numFmtId="0" fontId="133" fillId="3" borderId="1" xfId="0" applyFont="1" applyFill="1" applyBorder="1" applyAlignment="1" applyProtection="1">
      <alignment horizontal="left"/>
    </xf>
    <xf numFmtId="0" fontId="133" fillId="3" borderId="1" xfId="0" applyNumberFormat="1" applyFont="1" applyFill="1" applyBorder="1" applyAlignment="1" applyProtection="1">
      <alignment horizontal="center"/>
    </xf>
    <xf numFmtId="174" fontId="133" fillId="3" borderId="1" xfId="0" applyNumberFormat="1" applyFont="1" applyFill="1" applyBorder="1" applyAlignment="1" applyProtection="1">
      <alignment horizontal="center"/>
    </xf>
    <xf numFmtId="169" fontId="134" fillId="3" borderId="1" xfId="0" applyNumberFormat="1" applyFont="1" applyFill="1" applyBorder="1" applyAlignment="1" applyProtection="1">
      <alignment horizontal="center"/>
    </xf>
    <xf numFmtId="1" fontId="133" fillId="9" borderId="1" xfId="0" applyNumberFormat="1" applyFont="1" applyFill="1" applyBorder="1" applyAlignment="1" applyProtection="1">
      <alignment horizontal="center"/>
    </xf>
    <xf numFmtId="170" fontId="135" fillId="9" borderId="0" xfId="0" applyNumberFormat="1" applyFont="1" applyFill="1" applyBorder="1" applyAlignment="1" applyProtection="1">
      <alignment horizontal="center"/>
    </xf>
    <xf numFmtId="169" fontId="135" fillId="9" borderId="0" xfId="0" applyNumberFormat="1" applyFont="1" applyFill="1" applyBorder="1" applyAlignment="1" applyProtection="1">
      <alignment horizontal="center"/>
    </xf>
    <xf numFmtId="1" fontId="135" fillId="9" borderId="0" xfId="0" applyNumberFormat="1" applyFont="1" applyFill="1" applyBorder="1" applyAlignment="1" applyProtection="1">
      <alignment horizontal="center"/>
    </xf>
    <xf numFmtId="169" fontId="108" fillId="9" borderId="0" xfId="0" applyNumberFormat="1" applyFont="1" applyFill="1" applyBorder="1" applyAlignment="1" applyProtection="1">
      <alignment horizontal="center"/>
    </xf>
    <xf numFmtId="170" fontId="136" fillId="9" borderId="33" xfId="0" applyNumberFormat="1" applyFont="1" applyFill="1" applyBorder="1" applyAlignment="1" applyProtection="1">
      <alignment horizontal="center"/>
    </xf>
    <xf numFmtId="170" fontId="136" fillId="11" borderId="123" xfId="0" applyNumberFormat="1" applyFont="1" applyFill="1" applyBorder="1" applyAlignment="1" applyProtection="1">
      <alignment horizontal="center"/>
    </xf>
    <xf numFmtId="164" fontId="136" fillId="9" borderId="0" xfId="0" applyNumberFormat="1" applyFont="1" applyFill="1" applyBorder="1" applyAlignment="1" applyProtection="1">
      <alignment horizontal="center"/>
    </xf>
    <xf numFmtId="0" fontId="92" fillId="9" borderId="0" xfId="0" applyFont="1" applyFill="1" applyBorder="1" applyAlignment="1" applyProtection="1">
      <alignment horizontal="left"/>
    </xf>
    <xf numFmtId="2" fontId="136" fillId="9" borderId="0" xfId="0" applyNumberFormat="1" applyFont="1" applyFill="1" applyBorder="1" applyAlignment="1" applyProtection="1">
      <alignment horizontal="center"/>
    </xf>
    <xf numFmtId="0" fontId="129" fillId="3" borderId="0" xfId="0" applyFont="1" applyFill="1" applyBorder="1" applyProtection="1"/>
    <xf numFmtId="170" fontId="137" fillId="3" borderId="0" xfId="0" applyNumberFormat="1" applyFont="1" applyFill="1" applyBorder="1" applyAlignment="1" applyProtection="1">
      <alignment horizontal="center"/>
    </xf>
    <xf numFmtId="1" fontId="133" fillId="3" borderId="1" xfId="0" applyNumberFormat="1" applyFont="1" applyFill="1" applyBorder="1" applyAlignment="1" applyProtection="1">
      <alignment horizontal="left"/>
    </xf>
    <xf numFmtId="169" fontId="133" fillId="3" borderId="1" xfId="0" applyNumberFormat="1" applyFont="1" applyFill="1" applyBorder="1" applyAlignment="1" applyProtection="1">
      <alignment horizontal="center"/>
    </xf>
    <xf numFmtId="170" fontId="135" fillId="9" borderId="0" xfId="0" applyNumberFormat="1" applyFont="1" applyFill="1" applyBorder="1" applyAlignment="1" applyProtection="1">
      <alignment horizontal="left"/>
    </xf>
    <xf numFmtId="173" fontId="135" fillId="9" borderId="0" xfId="0" applyNumberFormat="1" applyFont="1" applyFill="1" applyBorder="1" applyAlignment="1" applyProtection="1">
      <alignment horizontal="center"/>
    </xf>
    <xf numFmtId="0" fontId="92" fillId="9" borderId="0" xfId="0" applyFont="1" applyFill="1" applyBorder="1" applyProtection="1"/>
    <xf numFmtId="170" fontId="129" fillId="3" borderId="0" xfId="3" applyNumberFormat="1" applyFont="1" applyFill="1" applyBorder="1" applyProtection="1"/>
    <xf numFmtId="1" fontId="134" fillId="9" borderId="0" xfId="0" applyNumberFormat="1" applyFont="1" applyFill="1" applyBorder="1" applyAlignment="1" applyProtection="1">
      <alignment horizontal="center"/>
    </xf>
    <xf numFmtId="169" fontId="134" fillId="9" borderId="0" xfId="0" applyNumberFormat="1" applyFont="1" applyFill="1" applyBorder="1" applyAlignment="1" applyProtection="1">
      <alignment horizontal="center"/>
    </xf>
    <xf numFmtId="0" fontId="134" fillId="9" borderId="0" xfId="0" applyFont="1" applyFill="1" applyBorder="1" applyAlignment="1" applyProtection="1">
      <alignment horizontal="center"/>
    </xf>
    <xf numFmtId="9" fontId="134" fillId="9" borderId="0" xfId="0" applyNumberFormat="1" applyFont="1" applyFill="1" applyBorder="1" applyAlignment="1" applyProtection="1">
      <alignment horizontal="center"/>
    </xf>
    <xf numFmtId="0" fontId="92" fillId="9" borderId="48" xfId="0" applyFont="1" applyFill="1" applyBorder="1" applyAlignment="1" applyProtection="1">
      <alignment horizontal="center"/>
    </xf>
    <xf numFmtId="170" fontId="136" fillId="9" borderId="48" xfId="0" applyNumberFormat="1" applyFont="1" applyFill="1" applyBorder="1" applyAlignment="1" applyProtection="1">
      <alignment horizontal="center"/>
    </xf>
    <xf numFmtId="0" fontId="12" fillId="9" borderId="0" xfId="0" applyFont="1" applyFill="1" applyBorder="1" applyProtection="1"/>
    <xf numFmtId="0" fontId="6" fillId="0" borderId="1" xfId="0" applyFont="1" applyFill="1" applyBorder="1" applyAlignment="1" applyProtection="1">
      <alignment horizontal="left"/>
      <protection locked="0"/>
    </xf>
    <xf numFmtId="0" fontId="1" fillId="11" borderId="1" xfId="0" applyNumberFormat="1" applyFont="1" applyFill="1" applyBorder="1" applyAlignment="1" applyProtection="1">
      <alignment horizontal="center"/>
      <protection locked="0"/>
    </xf>
    <xf numFmtId="169" fontId="1" fillId="11" borderId="1" xfId="0" applyNumberFormat="1" applyFont="1" applyFill="1" applyBorder="1" applyAlignment="1" applyProtection="1">
      <alignment horizontal="center"/>
      <protection locked="0"/>
    </xf>
    <xf numFmtId="170" fontId="6" fillId="3" borderId="0" xfId="0" applyNumberFormat="1" applyFont="1" applyFill="1" applyBorder="1" applyAlignment="1" applyProtection="1">
      <alignment horizontal="left"/>
    </xf>
    <xf numFmtId="167" fontId="92" fillId="0" borderId="0" xfId="0" applyNumberFormat="1" applyFont="1" applyFill="1" applyBorder="1" applyAlignment="1" applyProtection="1">
      <alignment horizontal="left"/>
    </xf>
    <xf numFmtId="0" fontId="92" fillId="0" borderId="0" xfId="0" applyFont="1" applyFill="1" applyBorder="1" applyAlignment="1" applyProtection="1">
      <alignment horizontal="left"/>
    </xf>
    <xf numFmtId="0" fontId="138" fillId="0" borderId="0" xfId="0" applyFont="1" applyFill="1" applyBorder="1" applyAlignment="1" applyProtection="1">
      <alignment horizontal="left"/>
    </xf>
    <xf numFmtId="176" fontId="138" fillId="0" borderId="0" xfId="0" applyNumberFormat="1" applyFont="1" applyFill="1" applyBorder="1" applyAlignment="1" applyProtection="1">
      <alignment horizontal="left"/>
    </xf>
    <xf numFmtId="176" fontId="92" fillId="0" borderId="0" xfId="0" applyNumberFormat="1" applyFont="1" applyFill="1" applyBorder="1" applyAlignment="1" applyProtection="1">
      <alignment horizontal="left"/>
    </xf>
    <xf numFmtId="1" fontId="92" fillId="0" borderId="0" xfId="0" applyNumberFormat="1" applyFont="1" applyFill="1" applyBorder="1" applyAlignment="1" applyProtection="1">
      <alignment horizontal="left"/>
    </xf>
    <xf numFmtId="1" fontId="138" fillId="0" borderId="0" xfId="0" applyNumberFormat="1" applyFont="1" applyFill="1" applyBorder="1" applyAlignment="1" applyProtection="1">
      <alignment horizontal="left"/>
    </xf>
    <xf numFmtId="1" fontId="92" fillId="0" borderId="0" xfId="0" applyNumberFormat="1" applyFont="1" applyAlignment="1" applyProtection="1">
      <alignment horizontal="left"/>
    </xf>
    <xf numFmtId="0" fontId="113" fillId="0" borderId="0" xfId="0" applyFont="1" applyFill="1" applyBorder="1" applyAlignment="1" applyProtection="1">
      <alignment horizontal="left"/>
    </xf>
    <xf numFmtId="0" fontId="105" fillId="0" borderId="0" xfId="0" applyFont="1" applyFill="1" applyBorder="1" applyProtection="1"/>
    <xf numFmtId="1" fontId="105" fillId="0" borderId="0" xfId="0" applyNumberFormat="1" applyFont="1" applyFill="1" applyBorder="1" applyAlignment="1" applyProtection="1">
      <alignment horizontal="center"/>
    </xf>
    <xf numFmtId="165" fontId="139" fillId="0" borderId="0" xfId="0" applyNumberFormat="1" applyFont="1" applyFill="1" applyBorder="1" applyAlignment="1" applyProtection="1">
      <alignment horizontal="left"/>
    </xf>
    <xf numFmtId="0" fontId="92" fillId="0" borderId="0" xfId="0" applyFont="1" applyFill="1" applyBorder="1" applyProtection="1"/>
    <xf numFmtId="165" fontId="92" fillId="0" borderId="0" xfId="0" applyNumberFormat="1" applyFont="1" applyFill="1" applyBorder="1" applyAlignment="1" applyProtection="1">
      <alignment horizontal="left"/>
    </xf>
    <xf numFmtId="165" fontId="140" fillId="0" borderId="0" xfId="0" applyNumberFormat="1" applyFont="1" applyFill="1" applyBorder="1" applyAlignment="1" applyProtection="1">
      <alignment horizontal="left"/>
    </xf>
    <xf numFmtId="0" fontId="105" fillId="0" borderId="0" xfId="0" quotePrefix="1" applyFont="1" applyFill="1" applyBorder="1" applyAlignment="1" applyProtection="1">
      <alignment horizontal="left"/>
    </xf>
    <xf numFmtId="165" fontId="105" fillId="0" borderId="0" xfId="0" applyNumberFormat="1" applyFont="1" applyFill="1" applyBorder="1" applyAlignment="1" applyProtection="1">
      <alignment horizontal="left"/>
    </xf>
    <xf numFmtId="165" fontId="105" fillId="7" borderId="0" xfId="0" applyNumberFormat="1" applyFont="1" applyFill="1" applyBorder="1" applyAlignment="1" applyProtection="1">
      <alignment horizontal="left"/>
      <protection locked="0"/>
    </xf>
    <xf numFmtId="44" fontId="92" fillId="11" borderId="0" xfId="0" applyNumberFormat="1" applyFont="1" applyFill="1" applyProtection="1"/>
    <xf numFmtId="44" fontId="92" fillId="0" borderId="0" xfId="0" applyNumberFormat="1" applyFont="1" applyFill="1" applyProtection="1"/>
    <xf numFmtId="165" fontId="92" fillId="0" borderId="0" xfId="0" applyNumberFormat="1" applyFont="1" applyFill="1" applyBorder="1" applyAlignment="1" applyProtection="1">
      <alignment horizontal="right"/>
    </xf>
    <xf numFmtId="165" fontId="92" fillId="7" borderId="0" xfId="0" applyNumberFormat="1" applyFont="1" applyFill="1" applyBorder="1" applyAlignment="1" applyProtection="1">
      <alignment horizontal="left"/>
      <protection locked="0"/>
    </xf>
    <xf numFmtId="0" fontId="141" fillId="0" borderId="0" xfId="0" quotePrefix="1" applyFont="1" applyFill="1" applyBorder="1" applyAlignment="1" applyProtection="1">
      <alignment horizontal="left"/>
    </xf>
    <xf numFmtId="165" fontId="105" fillId="0" borderId="0" xfId="0" applyNumberFormat="1" applyFont="1" applyFill="1" applyBorder="1" applyAlignment="1" applyProtection="1">
      <alignment horizontal="center"/>
    </xf>
    <xf numFmtId="165" fontId="92" fillId="0" borderId="0" xfId="0" applyNumberFormat="1" applyFont="1" applyFill="1" applyBorder="1" applyAlignment="1" applyProtection="1">
      <alignment horizontal="center"/>
    </xf>
    <xf numFmtId="0" fontId="105" fillId="0" borderId="0" xfId="0" quotePrefix="1" applyFont="1" applyFill="1" applyBorder="1" applyAlignment="1" applyProtection="1">
      <alignment horizontal="right"/>
    </xf>
    <xf numFmtId="190" fontId="92" fillId="0" borderId="0" xfId="0" applyNumberFormat="1" applyFont="1" applyFill="1" applyBorder="1" applyAlignment="1" applyProtection="1">
      <alignment horizontal="left"/>
    </xf>
    <xf numFmtId="44" fontId="92" fillId="0" borderId="0" xfId="0" applyNumberFormat="1" applyFont="1" applyFill="1" applyBorder="1" applyAlignment="1" applyProtection="1">
      <alignment horizontal="left"/>
    </xf>
    <xf numFmtId="0" fontId="136" fillId="0" borderId="0" xfId="0" applyFont="1" applyAlignment="1" applyProtection="1">
      <alignment horizontal="left"/>
    </xf>
    <xf numFmtId="0" fontId="92" fillId="0" borderId="0" xfId="0" applyFont="1" applyFill="1" applyBorder="1" applyAlignment="1" applyProtection="1">
      <alignment horizontal="center"/>
    </xf>
    <xf numFmtId="0" fontId="105" fillId="0" borderId="0" xfId="0" applyFont="1" applyAlignment="1" applyProtection="1">
      <alignment horizontal="left"/>
    </xf>
    <xf numFmtId="0" fontId="129" fillId="0" borderId="0" xfId="0" applyFont="1" applyAlignment="1" applyProtection="1">
      <alignment horizontal="left"/>
    </xf>
    <xf numFmtId="167" fontId="92" fillId="5" borderId="0" xfId="0" applyNumberFormat="1" applyFont="1" applyFill="1" applyAlignment="1" applyProtection="1">
      <alignment horizontal="right"/>
      <protection locked="0"/>
    </xf>
    <xf numFmtId="167" fontId="92" fillId="7" borderId="0" xfId="0" applyNumberFormat="1" applyFont="1" applyFill="1" applyAlignment="1" applyProtection="1">
      <alignment horizontal="right"/>
      <protection locked="0"/>
    </xf>
    <xf numFmtId="188" fontId="105" fillId="0" borderId="0" xfId="0" applyNumberFormat="1" applyFont="1" applyAlignment="1" applyProtection="1">
      <alignment horizontal="left"/>
    </xf>
    <xf numFmtId="167" fontId="92" fillId="0" borderId="0" xfId="0" applyNumberFormat="1" applyFont="1" applyFill="1" applyAlignment="1" applyProtection="1">
      <alignment horizontal="right"/>
    </xf>
    <xf numFmtId="167" fontId="105" fillId="0" borderId="0" xfId="0" applyNumberFormat="1" applyFont="1" applyFill="1" applyAlignment="1" applyProtection="1">
      <alignment horizontal="right"/>
    </xf>
    <xf numFmtId="1" fontId="92" fillId="0" borderId="0" xfId="0" applyNumberFormat="1" applyFont="1" applyAlignment="1" applyProtection="1">
      <alignment horizontal="center"/>
    </xf>
    <xf numFmtId="167" fontId="105" fillId="0" borderId="0" xfId="0" applyNumberFormat="1" applyFont="1" applyAlignment="1" applyProtection="1">
      <alignment horizontal="right"/>
    </xf>
    <xf numFmtId="167" fontId="92" fillId="0" borderId="0" xfId="0" applyNumberFormat="1" applyFont="1" applyFill="1" applyAlignment="1" applyProtection="1">
      <alignment horizontal="left"/>
    </xf>
    <xf numFmtId="167" fontId="92" fillId="0" borderId="0" xfId="0" applyNumberFormat="1" applyFont="1" applyAlignment="1" applyProtection="1">
      <alignment horizontal="left"/>
    </xf>
    <xf numFmtId="9" fontId="92" fillId="0" borderId="0" xfId="0" applyNumberFormat="1" applyFont="1" applyFill="1" applyAlignment="1" applyProtection="1">
      <alignment horizontal="center"/>
    </xf>
    <xf numFmtId="9" fontId="92" fillId="7" borderId="0" xfId="0" applyNumberFormat="1" applyFont="1" applyFill="1" applyAlignment="1" applyProtection="1">
      <alignment horizontal="center"/>
      <protection locked="0"/>
    </xf>
    <xf numFmtId="10" fontId="92" fillId="0" borderId="0" xfId="0" applyNumberFormat="1" applyFont="1" applyFill="1" applyAlignment="1" applyProtection="1">
      <alignment horizontal="left"/>
    </xf>
    <xf numFmtId="0" fontId="92" fillId="0" borderId="0" xfId="0" applyFont="1" applyAlignment="1" applyProtection="1">
      <alignment horizontal="right"/>
    </xf>
    <xf numFmtId="44" fontId="92" fillId="0" borderId="0" xfId="0" applyNumberFormat="1" applyFont="1" applyFill="1" applyAlignment="1" applyProtection="1">
      <alignment horizontal="left"/>
    </xf>
    <xf numFmtId="1" fontId="92" fillId="0" borderId="0" xfId="0" applyNumberFormat="1" applyFont="1" applyFill="1" applyBorder="1" applyAlignment="1" applyProtection="1">
      <alignment horizontal="center"/>
    </xf>
    <xf numFmtId="167" fontId="92" fillId="0" borderId="0" xfId="0" applyNumberFormat="1" applyFont="1" applyFill="1" applyBorder="1" applyAlignment="1" applyProtection="1">
      <alignment horizontal="center"/>
    </xf>
    <xf numFmtId="0" fontId="92" fillId="0" borderId="0" xfId="0" applyFont="1" applyFill="1" applyProtection="1"/>
    <xf numFmtId="0" fontId="129" fillId="0" borderId="0" xfId="0" applyFont="1" applyFill="1" applyAlignment="1" applyProtection="1">
      <alignment horizontal="left"/>
    </xf>
    <xf numFmtId="167" fontId="92" fillId="5" borderId="0" xfId="0" applyNumberFormat="1" applyFont="1" applyFill="1" applyBorder="1" applyProtection="1">
      <protection locked="0"/>
    </xf>
    <xf numFmtId="167" fontId="140" fillId="0" borderId="0" xfId="0" applyNumberFormat="1" applyFont="1" applyProtection="1"/>
    <xf numFmtId="10" fontId="92" fillId="0" borderId="0" xfId="0" applyNumberFormat="1" applyFont="1" applyAlignment="1" applyProtection="1">
      <alignment horizontal="left"/>
    </xf>
    <xf numFmtId="167" fontId="92" fillId="0" borderId="0" xfId="0" applyNumberFormat="1" applyFont="1" applyFill="1" applyBorder="1" applyProtection="1"/>
    <xf numFmtId="0" fontId="142" fillId="0" borderId="0" xfId="0" applyFont="1" applyAlignment="1" applyProtection="1">
      <alignment horizontal="left"/>
    </xf>
    <xf numFmtId="44" fontId="92" fillId="0" borderId="0" xfId="0" applyNumberFormat="1" applyFont="1" applyAlignment="1" applyProtection="1">
      <alignment horizontal="left"/>
    </xf>
    <xf numFmtId="167" fontId="92" fillId="5" borderId="0" xfId="0" applyNumberFormat="1" applyFont="1" applyFill="1" applyAlignment="1" applyProtection="1">
      <alignment horizontal="left"/>
      <protection locked="0"/>
    </xf>
    <xf numFmtId="0" fontId="92" fillId="0" borderId="0" xfId="0" applyFont="1" applyFill="1" applyAlignment="1" applyProtection="1">
      <alignment horizontal="right"/>
    </xf>
    <xf numFmtId="44" fontId="140" fillId="0" borderId="0" xfId="0" applyNumberFormat="1" applyFont="1" applyFill="1" applyAlignment="1" applyProtection="1">
      <alignment horizontal="right"/>
    </xf>
    <xf numFmtId="165" fontId="92" fillId="0" borderId="0" xfId="0" applyNumberFormat="1" applyFont="1" applyFill="1" applyProtection="1"/>
    <xf numFmtId="165" fontId="92" fillId="0" borderId="0" xfId="0" applyNumberFormat="1" applyFont="1" applyProtection="1"/>
    <xf numFmtId="0" fontId="105" fillId="0" borderId="0" xfId="0" quotePrefix="1" applyFont="1" applyFill="1" applyAlignment="1" applyProtection="1">
      <alignment horizontal="left"/>
    </xf>
    <xf numFmtId="0" fontId="105" fillId="0" borderId="0" xfId="0" applyFont="1" applyFill="1" applyProtection="1"/>
    <xf numFmtId="165" fontId="92" fillId="7" borderId="0" xfId="0" applyNumberFormat="1" applyFont="1" applyFill="1" applyProtection="1">
      <protection locked="0"/>
    </xf>
    <xf numFmtId="0" fontId="92" fillId="0" borderId="0" xfId="0" quotePrefix="1" applyFont="1" applyAlignment="1" applyProtection="1">
      <alignment horizontal="left"/>
    </xf>
    <xf numFmtId="2" fontId="92" fillId="0" borderId="0" xfId="0" applyNumberFormat="1" applyFont="1" applyFill="1" applyProtection="1"/>
    <xf numFmtId="2" fontId="92" fillId="7" borderId="0" xfId="0" applyNumberFormat="1" applyFont="1" applyFill="1" applyProtection="1">
      <protection locked="0"/>
    </xf>
    <xf numFmtId="44" fontId="92" fillId="7" borderId="0" xfId="0" applyNumberFormat="1" applyFont="1" applyFill="1" applyProtection="1">
      <protection locked="0"/>
    </xf>
    <xf numFmtId="173" fontId="92" fillId="5" borderId="0" xfId="0" applyNumberFormat="1" applyFont="1" applyFill="1" applyBorder="1" applyAlignment="1" applyProtection="1">
      <alignment horizontal="left"/>
      <protection locked="0"/>
    </xf>
    <xf numFmtId="173" fontId="92" fillId="0" borderId="0" xfId="0" applyNumberFormat="1" applyFont="1" applyFill="1" applyBorder="1" applyAlignment="1" applyProtection="1">
      <alignment horizontal="left"/>
    </xf>
    <xf numFmtId="1" fontId="105" fillId="0" borderId="0" xfId="0" applyNumberFormat="1" applyFont="1" applyFill="1" applyBorder="1" applyAlignment="1" applyProtection="1">
      <alignment horizontal="left"/>
    </xf>
    <xf numFmtId="169" fontId="92" fillId="0" borderId="0" xfId="0" applyNumberFormat="1" applyFont="1" applyAlignment="1" applyProtection="1">
      <alignment horizontal="left"/>
    </xf>
    <xf numFmtId="0" fontId="136" fillId="0" borderId="0" xfId="0" applyFont="1" applyFill="1" applyBorder="1" applyAlignment="1" applyProtection="1">
      <alignment horizontal="left"/>
    </xf>
    <xf numFmtId="0" fontId="136" fillId="0" borderId="0" xfId="0" applyFont="1" applyFill="1" applyBorder="1" applyAlignment="1" applyProtection="1">
      <alignment horizontal="left" indent="1"/>
    </xf>
    <xf numFmtId="0" fontId="105" fillId="0" borderId="0" xfId="0" applyFont="1" applyAlignment="1" applyProtection="1">
      <alignment horizontal="right"/>
    </xf>
    <xf numFmtId="0" fontId="143" fillId="0" borderId="0" xfId="0" applyFont="1" applyAlignment="1" applyProtection="1">
      <alignment horizontal="right"/>
    </xf>
    <xf numFmtId="1" fontId="145" fillId="0" borderId="0" xfId="0" applyNumberFormat="1" applyFont="1" applyProtection="1"/>
    <xf numFmtId="0" fontId="144" fillId="0" borderId="0" xfId="0" applyFont="1" applyAlignment="1" applyProtection="1">
      <alignment horizontal="right"/>
    </xf>
    <xf numFmtId="1" fontId="144" fillId="0" borderId="0" xfId="0" applyNumberFormat="1" applyFont="1" applyAlignment="1" applyProtection="1">
      <alignment horizontal="right"/>
    </xf>
    <xf numFmtId="0" fontId="92" fillId="0" borderId="2" xfId="0" applyFont="1" applyFill="1" applyBorder="1" applyAlignment="1" applyProtection="1">
      <alignment horizontal="left"/>
    </xf>
    <xf numFmtId="3" fontId="92" fillId="0" borderId="27" xfId="0" applyNumberFormat="1" applyFont="1" applyFill="1" applyBorder="1" applyAlignment="1" applyProtection="1">
      <alignment horizontal="right"/>
    </xf>
    <xf numFmtId="1" fontId="92" fillId="0" borderId="26" xfId="0" applyNumberFormat="1" applyFont="1" applyBorder="1" applyAlignment="1" applyProtection="1">
      <alignment horizontal="right"/>
    </xf>
    <xf numFmtId="1" fontId="92" fillId="0" borderId="27" xfId="0" applyNumberFormat="1" applyFont="1" applyBorder="1" applyAlignment="1" applyProtection="1">
      <alignment horizontal="right"/>
    </xf>
    <xf numFmtId="1" fontId="92" fillId="0" borderId="28" xfId="0" applyNumberFormat="1" applyFont="1" applyBorder="1" applyAlignment="1" applyProtection="1">
      <alignment horizontal="right"/>
    </xf>
    <xf numFmtId="3" fontId="144" fillId="0" borderId="116" xfId="0" applyNumberFormat="1" applyFont="1" applyFill="1" applyBorder="1" applyProtection="1"/>
    <xf numFmtId="0" fontId="92" fillId="0" borderId="50" xfId="0" applyFont="1" applyFill="1" applyBorder="1" applyAlignment="1" applyProtection="1">
      <alignment horizontal="left"/>
    </xf>
    <xf numFmtId="3" fontId="92" fillId="0" borderId="0" xfId="0" applyNumberFormat="1" applyFont="1" applyFill="1" applyBorder="1" applyAlignment="1" applyProtection="1">
      <alignment horizontal="right"/>
    </xf>
    <xf numFmtId="1" fontId="92" fillId="0" borderId="50" xfId="0" applyNumberFormat="1" applyFont="1" applyBorder="1" applyAlignment="1" applyProtection="1">
      <alignment horizontal="right"/>
    </xf>
    <xf numFmtId="1" fontId="92" fillId="0" borderId="0" xfId="0" applyNumberFormat="1" applyFont="1" applyBorder="1" applyAlignment="1" applyProtection="1">
      <alignment horizontal="right"/>
    </xf>
    <xf numFmtId="0" fontId="92" fillId="0" borderId="0" xfId="0" applyFont="1" applyBorder="1" applyAlignment="1" applyProtection="1">
      <alignment horizontal="left"/>
    </xf>
    <xf numFmtId="0" fontId="92" fillId="0" borderId="42" xfId="0" applyFont="1" applyBorder="1" applyAlignment="1" applyProtection="1">
      <alignment horizontal="left"/>
    </xf>
    <xf numFmtId="3" fontId="144" fillId="0" borderId="117" xfId="0" applyNumberFormat="1" applyFont="1" applyFill="1" applyBorder="1" applyProtection="1"/>
    <xf numFmtId="1" fontId="92" fillId="0" borderId="42" xfId="0" applyNumberFormat="1" applyFont="1" applyBorder="1" applyAlignment="1" applyProtection="1">
      <alignment horizontal="right"/>
    </xf>
    <xf numFmtId="0" fontId="92" fillId="0" borderId="0" xfId="0" applyFont="1" applyBorder="1" applyAlignment="1" applyProtection="1">
      <alignment horizontal="right"/>
    </xf>
    <xf numFmtId="0" fontId="92" fillId="0" borderId="29" xfId="0" applyFont="1" applyFill="1" applyBorder="1" applyAlignment="1" applyProtection="1">
      <alignment horizontal="left"/>
    </xf>
    <xf numFmtId="3" fontId="92" fillId="0" borderId="30" xfId="0" applyNumberFormat="1" applyFont="1" applyFill="1" applyBorder="1" applyAlignment="1" applyProtection="1">
      <alignment horizontal="right"/>
    </xf>
    <xf numFmtId="0" fontId="92" fillId="0" borderId="29" xfId="0" applyFont="1" applyBorder="1" applyAlignment="1" applyProtection="1">
      <alignment horizontal="right"/>
    </xf>
    <xf numFmtId="0" fontId="92" fillId="0" borderId="30" xfId="0" applyFont="1" applyBorder="1" applyAlignment="1" applyProtection="1">
      <alignment horizontal="left"/>
    </xf>
    <xf numFmtId="0" fontId="92" fillId="0" borderId="31" xfId="0" applyFont="1" applyBorder="1" applyAlignment="1" applyProtection="1">
      <alignment horizontal="left"/>
    </xf>
    <xf numFmtId="3" fontId="144" fillId="0" borderId="118" xfId="0" applyNumberFormat="1" applyFont="1" applyFill="1" applyBorder="1" applyProtection="1"/>
    <xf numFmtId="187" fontId="144" fillId="7" borderId="0" xfId="0" applyNumberFormat="1" applyFont="1" applyFill="1" applyProtection="1">
      <protection locked="0"/>
    </xf>
    <xf numFmtId="0" fontId="144" fillId="0" borderId="0" xfId="0" applyFont="1" applyProtection="1"/>
    <xf numFmtId="0" fontId="144" fillId="0" borderId="0" xfId="0" applyFont="1" applyFill="1" applyProtection="1"/>
    <xf numFmtId="0" fontId="144" fillId="0" borderId="0" xfId="0" applyNumberFormat="1" applyFont="1" applyProtection="1"/>
    <xf numFmtId="1" fontId="92" fillId="0" borderId="0" xfId="0" applyNumberFormat="1" applyFont="1" applyProtection="1"/>
    <xf numFmtId="1" fontId="92" fillId="13" borderId="27" xfId="0" applyNumberFormat="1" applyFont="1" applyFill="1" applyBorder="1" applyProtection="1">
      <protection locked="0"/>
    </xf>
    <xf numFmtId="3" fontId="144" fillId="0" borderId="28" xfId="0" applyNumberFormat="1" applyFont="1" applyFill="1" applyBorder="1" applyProtection="1"/>
    <xf numFmtId="1" fontId="92" fillId="0" borderId="0" xfId="0" applyNumberFormat="1" applyFont="1" applyFill="1" applyAlignment="1" applyProtection="1">
      <alignment horizontal="right"/>
    </xf>
    <xf numFmtId="2" fontId="92" fillId="0" borderId="0" xfId="0" applyNumberFormat="1" applyFont="1" applyAlignment="1" applyProtection="1">
      <alignment horizontal="right"/>
    </xf>
    <xf numFmtId="1" fontId="92" fillId="13" borderId="0" xfId="0" applyNumberFormat="1" applyFont="1" applyFill="1" applyBorder="1" applyProtection="1">
      <protection locked="0"/>
    </xf>
    <xf numFmtId="3" fontId="144" fillId="0" borderId="6" xfId="0" applyNumberFormat="1" applyFont="1" applyFill="1" applyBorder="1" applyProtection="1"/>
    <xf numFmtId="0" fontId="92" fillId="13" borderId="0" xfId="0" applyFont="1" applyFill="1" applyBorder="1" applyProtection="1">
      <protection locked="0"/>
    </xf>
    <xf numFmtId="4" fontId="92" fillId="13" borderId="0" xfId="0" applyNumberFormat="1" applyFont="1" applyFill="1" applyBorder="1" applyProtection="1">
      <protection locked="0"/>
    </xf>
    <xf numFmtId="0" fontId="92" fillId="13" borderId="30" xfId="0" applyFont="1" applyFill="1" applyBorder="1" applyProtection="1">
      <protection locked="0"/>
    </xf>
    <xf numFmtId="3" fontId="144" fillId="0" borderId="31" xfId="0" applyNumberFormat="1" applyFont="1" applyFill="1" applyBorder="1" applyProtection="1"/>
    <xf numFmtId="0" fontId="15" fillId="2" borderId="27" xfId="0" applyFont="1" applyFill="1" applyBorder="1" applyProtection="1"/>
    <xf numFmtId="164" fontId="34" fillId="4" borderId="11" xfId="0" applyNumberFormat="1" applyFont="1" applyFill="1" applyBorder="1" applyProtection="1"/>
    <xf numFmtId="164" fontId="6" fillId="5" borderId="11" xfId="0" applyNumberFormat="1" applyFont="1" applyFill="1" applyBorder="1" applyAlignment="1" applyProtection="1">
      <alignment horizontal="center"/>
    </xf>
    <xf numFmtId="164" fontId="42" fillId="4" borderId="11" xfId="0" applyNumberFormat="1" applyFont="1" applyFill="1" applyBorder="1" applyAlignment="1" applyProtection="1">
      <alignment horizontal="center"/>
    </xf>
    <xf numFmtId="164" fontId="15" fillId="3" borderId="11" xfId="0" applyNumberFormat="1" applyFont="1" applyFill="1" applyBorder="1" applyAlignment="1" applyProtection="1">
      <alignment horizontal="center"/>
    </xf>
    <xf numFmtId="0" fontId="6" fillId="2" borderId="124" xfId="0" applyFont="1" applyFill="1" applyBorder="1" applyProtection="1"/>
    <xf numFmtId="0" fontId="37" fillId="2" borderId="6" xfId="0" applyFont="1" applyFill="1" applyBorder="1" applyProtection="1"/>
    <xf numFmtId="0" fontId="89" fillId="2" borderId="6" xfId="0" applyFont="1" applyFill="1" applyBorder="1" applyAlignment="1" applyProtection="1">
      <alignment horizontal="center"/>
    </xf>
    <xf numFmtId="0" fontId="6" fillId="3" borderId="125" xfId="0" applyFont="1" applyFill="1" applyBorder="1" applyAlignment="1" applyProtection="1">
      <alignment horizontal="center"/>
    </xf>
    <xf numFmtId="0" fontId="6" fillId="3" borderId="125" xfId="0" applyFont="1" applyFill="1" applyBorder="1" applyProtection="1"/>
    <xf numFmtId="0" fontId="6" fillId="2" borderId="126" xfId="0" applyFont="1" applyFill="1" applyBorder="1" applyProtection="1"/>
    <xf numFmtId="0" fontId="7" fillId="3" borderId="11" xfId="0" applyFont="1" applyFill="1" applyBorder="1" applyAlignment="1" applyProtection="1">
      <alignment horizontal="left"/>
    </xf>
    <xf numFmtId="0" fontId="6" fillId="3" borderId="80" xfId="0" applyFont="1" applyFill="1" applyBorder="1" applyProtection="1"/>
    <xf numFmtId="0" fontId="6" fillId="3" borderId="81" xfId="0" applyFont="1" applyFill="1" applyBorder="1" applyProtection="1"/>
    <xf numFmtId="0" fontId="6" fillId="3" borderId="47" xfId="0" applyFont="1" applyFill="1" applyBorder="1" applyProtection="1"/>
    <xf numFmtId="0" fontId="6" fillId="3" borderId="127" xfId="0" applyFont="1" applyFill="1" applyBorder="1" applyProtection="1"/>
    <xf numFmtId="171" fontId="6" fillId="3" borderId="80" xfId="0" applyNumberFormat="1" applyFont="1" applyFill="1" applyBorder="1" applyProtection="1"/>
    <xf numFmtId="171" fontId="6" fillId="3" borderId="47" xfId="0" applyNumberFormat="1" applyFont="1" applyFill="1" applyBorder="1" applyProtection="1"/>
    <xf numFmtId="0" fontId="63" fillId="2" borderId="50" xfId="0" applyFont="1" applyFill="1" applyBorder="1" applyProtection="1"/>
    <xf numFmtId="0" fontId="25" fillId="2" borderId="50" xfId="0" applyFont="1" applyFill="1" applyBorder="1" applyProtection="1"/>
    <xf numFmtId="0" fontId="7" fillId="2" borderId="50" xfId="0" applyFont="1" applyFill="1" applyBorder="1" applyAlignment="1" applyProtection="1">
      <alignment horizontal="left"/>
    </xf>
    <xf numFmtId="0" fontId="6" fillId="2" borderId="128" xfId="0" applyFont="1" applyFill="1" applyBorder="1" applyProtection="1"/>
    <xf numFmtId="4" fontId="92" fillId="0" borderId="50" xfId="0" applyNumberFormat="1" applyFont="1" applyFill="1" applyBorder="1" applyProtection="1"/>
    <xf numFmtId="4" fontId="92" fillId="0" borderId="0" xfId="0" applyNumberFormat="1" applyFont="1" applyFill="1" applyBorder="1" applyProtection="1"/>
    <xf numFmtId="1" fontId="11" fillId="0" borderId="1" xfId="3" applyNumberFormat="1" applyFont="1" applyFill="1" applyBorder="1" applyAlignment="1" applyProtection="1">
      <alignment horizontal="center"/>
      <protection locked="0"/>
    </xf>
    <xf numFmtId="172" fontId="11" fillId="13" borderId="1" xfId="3" applyNumberFormat="1" applyFont="1" applyFill="1" applyBorder="1" applyAlignment="1" applyProtection="1">
      <protection locked="0"/>
    </xf>
    <xf numFmtId="0" fontId="146" fillId="0" borderId="0" xfId="0" applyFont="1" applyFill="1" applyAlignment="1" applyProtection="1">
      <alignment horizontal="left"/>
    </xf>
    <xf numFmtId="165" fontId="146" fillId="0" borderId="0" xfId="0" applyNumberFormat="1" applyFont="1" applyFill="1" applyAlignment="1" applyProtection="1">
      <alignment horizontal="left"/>
    </xf>
    <xf numFmtId="0" fontId="146" fillId="0" borderId="0" xfId="0" applyFont="1" applyAlignment="1" applyProtection="1">
      <alignment horizontal="left"/>
    </xf>
    <xf numFmtId="165" fontId="146" fillId="0" borderId="0" xfId="0" applyNumberFormat="1" applyFont="1" applyFill="1" applyAlignment="1" applyProtection="1">
      <alignment horizontal="center"/>
    </xf>
    <xf numFmtId="0" fontId="146" fillId="0" borderId="0" xfId="0" applyFont="1" applyFill="1" applyAlignment="1" applyProtection="1">
      <alignment horizontal="center"/>
    </xf>
    <xf numFmtId="44" fontId="146" fillId="0" borderId="0" xfId="0" applyNumberFormat="1" applyFont="1" applyFill="1" applyAlignment="1" applyProtection="1">
      <alignment horizontal="left"/>
    </xf>
    <xf numFmtId="167" fontId="146" fillId="0" borderId="0" xfId="0" applyNumberFormat="1" applyFont="1" applyFill="1" applyAlignment="1" applyProtection="1">
      <alignment horizontal="left"/>
    </xf>
    <xf numFmtId="44" fontId="146" fillId="0" borderId="0" xfId="0" applyNumberFormat="1" applyFont="1" applyAlignment="1" applyProtection="1">
      <alignment horizontal="left"/>
    </xf>
    <xf numFmtId="181" fontId="140" fillId="0" borderId="0" xfId="0" applyNumberFormat="1" applyFont="1" applyProtection="1"/>
    <xf numFmtId="189" fontId="11" fillId="0" borderId="1" xfId="0" applyNumberFormat="1" applyFont="1" applyFill="1" applyBorder="1" applyAlignment="1" applyProtection="1">
      <alignment horizontal="center"/>
      <protection locked="0"/>
    </xf>
    <xf numFmtId="189" fontId="91" fillId="6" borderId="1" xfId="0" applyNumberFormat="1" applyFont="1" applyFill="1" applyBorder="1" applyAlignment="1" applyProtection="1">
      <alignment horizontal="center"/>
    </xf>
    <xf numFmtId="189" fontId="6" fillId="2" borderId="1" xfId="0" applyNumberFormat="1" applyFont="1" applyFill="1" applyBorder="1" applyAlignment="1" applyProtection="1">
      <alignment horizontal="center"/>
      <protection locked="0"/>
    </xf>
    <xf numFmtId="189" fontId="6" fillId="9" borderId="1" xfId="0" applyNumberFormat="1" applyFont="1" applyFill="1" applyBorder="1" applyAlignment="1" applyProtection="1">
      <alignment horizontal="center"/>
      <protection locked="0"/>
    </xf>
    <xf numFmtId="167" fontId="147" fillId="0" borderId="0" xfId="0" applyNumberFormat="1" applyFont="1" applyFill="1" applyAlignment="1" applyProtection="1">
      <alignment horizontal="right"/>
    </xf>
    <xf numFmtId="10" fontId="92" fillId="0" borderId="0" xfId="0" applyNumberFormat="1" applyFont="1" applyFill="1" applyAlignment="1" applyProtection="1">
      <alignment horizontal="center"/>
    </xf>
    <xf numFmtId="10" fontId="92" fillId="0" borderId="0" xfId="0" applyNumberFormat="1" applyFont="1" applyFill="1" applyProtection="1"/>
    <xf numFmtId="0" fontId="18" fillId="2" borderId="5" xfId="0" applyFont="1" applyFill="1" applyBorder="1" applyProtection="1"/>
    <xf numFmtId="0" fontId="82" fillId="2" borderId="0" xfId="0" applyFont="1" applyFill="1" applyBorder="1" applyProtection="1"/>
    <xf numFmtId="0" fontId="18" fillId="0" borderId="0" xfId="0" applyFont="1" applyFill="1" applyBorder="1" applyAlignment="1" applyProtection="1">
      <alignment horizontal="left"/>
    </xf>
    <xf numFmtId="0" fontId="82" fillId="2" borderId="0" xfId="0" applyFont="1" applyFill="1" applyBorder="1" applyAlignment="1" applyProtection="1">
      <alignment horizontal="center"/>
    </xf>
    <xf numFmtId="0" fontId="148" fillId="2" borderId="0" xfId="0" applyFont="1" applyFill="1" applyBorder="1" applyAlignment="1" applyProtection="1">
      <alignment horizontal="left"/>
    </xf>
    <xf numFmtId="0" fontId="7" fillId="9" borderId="22" xfId="0" applyFont="1" applyFill="1" applyBorder="1" applyProtection="1"/>
    <xf numFmtId="0" fontId="42" fillId="9" borderId="22" xfId="0" applyFont="1" applyFill="1" applyBorder="1" applyProtection="1"/>
    <xf numFmtId="42" fontId="43" fillId="4" borderId="14" xfId="0" applyNumberFormat="1" applyFont="1" applyFill="1" applyBorder="1" applyAlignment="1" applyProtection="1"/>
    <xf numFmtId="42" fontId="43" fillId="4" borderId="1" xfId="0" applyNumberFormat="1" applyFont="1" applyFill="1" applyBorder="1" applyAlignment="1" applyProtection="1"/>
    <xf numFmtId="4" fontId="92" fillId="0" borderId="0" xfId="0" applyNumberFormat="1" applyFont="1" applyFill="1" applyAlignment="1" applyProtection="1">
      <alignment horizontal="center"/>
    </xf>
    <xf numFmtId="0" fontId="140" fillId="0" borderId="0" xfId="0" applyFont="1" applyFill="1" applyAlignment="1" applyProtection="1">
      <alignment horizontal="left"/>
    </xf>
    <xf numFmtId="167" fontId="92" fillId="0" borderId="0" xfId="0" applyNumberFormat="1" applyFont="1" applyFill="1" applyProtection="1"/>
    <xf numFmtId="44" fontId="140" fillId="0" borderId="0" xfId="0" applyNumberFormat="1" applyFont="1" applyFill="1" applyAlignment="1" applyProtection="1">
      <alignment horizontal="left"/>
    </xf>
    <xf numFmtId="187" fontId="144" fillId="0" borderId="0" xfId="0" applyNumberFormat="1" applyFont="1" applyFill="1" applyProtection="1"/>
    <xf numFmtId="10" fontId="92" fillId="7" borderId="0" xfId="0" applyNumberFormat="1" applyFont="1" applyFill="1" applyAlignment="1" applyProtection="1">
      <alignment horizontal="center"/>
      <protection locked="0"/>
    </xf>
    <xf numFmtId="164" fontId="6" fillId="11" borderId="1" xfId="0" applyNumberFormat="1" applyFont="1" applyFill="1" applyBorder="1" applyAlignment="1" applyProtection="1">
      <alignment horizontal="center"/>
      <protection locked="0"/>
    </xf>
    <xf numFmtId="164" fontId="6" fillId="11" borderId="1" xfId="0" applyNumberFormat="1" applyFont="1" applyFill="1" applyBorder="1" applyProtection="1">
      <protection locked="0"/>
    </xf>
    <xf numFmtId="42" fontId="43" fillId="14" borderId="1" xfId="0" applyNumberFormat="1" applyFont="1" applyFill="1" applyBorder="1" applyAlignment="1" applyProtection="1"/>
    <xf numFmtId="164" fontId="6" fillId="0" borderId="1" xfId="0" applyNumberFormat="1" applyFont="1" applyFill="1" applyBorder="1" applyAlignment="1" applyProtection="1">
      <alignment horizontal="left"/>
      <protection locked="0"/>
    </xf>
    <xf numFmtId="164" fontId="6" fillId="0" borderId="1" xfId="3" applyNumberFormat="1" applyFont="1" applyFill="1" applyBorder="1" applyAlignment="1" applyProtection="1">
      <alignment horizontal="left"/>
      <protection locked="0"/>
    </xf>
    <xf numFmtId="42" fontId="6" fillId="0" borderId="1" xfId="0" applyNumberFormat="1" applyFont="1" applyFill="1" applyBorder="1" applyAlignment="1" applyProtection="1">
      <alignment horizontal="left"/>
      <protection locked="0"/>
    </xf>
    <xf numFmtId="164" fontId="6" fillId="0" borderId="1" xfId="0" applyNumberFormat="1" applyFont="1" applyFill="1" applyBorder="1" applyAlignment="1" applyProtection="1">
      <alignment horizontal="center"/>
    </xf>
    <xf numFmtId="0" fontId="12" fillId="3" borderId="129" xfId="0" applyFont="1" applyFill="1" applyBorder="1" applyProtection="1"/>
    <xf numFmtId="0" fontId="11" fillId="3" borderId="129" xfId="0" applyFont="1" applyFill="1" applyBorder="1" applyProtection="1"/>
    <xf numFmtId="0" fontId="11" fillId="3" borderId="129" xfId="0" applyFont="1" applyFill="1" applyBorder="1" applyAlignment="1" applyProtection="1">
      <alignment horizontal="center"/>
    </xf>
    <xf numFmtId="164" fontId="11" fillId="9" borderId="129" xfId="0" applyNumberFormat="1" applyFont="1" applyFill="1" applyBorder="1" applyAlignment="1" applyProtection="1">
      <alignment horizontal="center"/>
      <protection locked="0"/>
    </xf>
    <xf numFmtId="0" fontId="7" fillId="3" borderId="130" xfId="0" applyFont="1" applyFill="1" applyBorder="1" applyProtection="1"/>
    <xf numFmtId="0" fontId="6" fillId="3" borderId="130" xfId="0" applyFont="1" applyFill="1" applyBorder="1" applyProtection="1"/>
    <xf numFmtId="0" fontId="6" fillId="3" borderId="130" xfId="0" applyFont="1" applyFill="1" applyBorder="1" applyAlignment="1" applyProtection="1">
      <alignment horizontal="center"/>
    </xf>
    <xf numFmtId="164" fontId="11" fillId="9" borderId="130" xfId="0" applyNumberFormat="1" applyFont="1" applyFill="1" applyBorder="1" applyAlignment="1" applyProtection="1">
      <alignment horizontal="center"/>
      <protection locked="0"/>
    </xf>
    <xf numFmtId="164" fontId="99" fillId="14" borderId="1" xfId="0" applyNumberFormat="1" applyFont="1" applyFill="1" applyBorder="1" applyAlignment="1" applyProtection="1">
      <alignment horizontal="center"/>
      <protection locked="0"/>
    </xf>
    <xf numFmtId="0" fontId="6" fillId="0" borderId="1" xfId="0" applyFont="1" applyFill="1" applyBorder="1" applyProtection="1"/>
    <xf numFmtId="0" fontId="6" fillId="3" borderId="32" xfId="0" applyFont="1" applyFill="1" applyBorder="1" applyAlignment="1" applyProtection="1">
      <alignment horizontal="center"/>
    </xf>
    <xf numFmtId="0" fontId="6" fillId="3" borderId="131" xfId="0" applyFont="1" applyFill="1" applyBorder="1" applyAlignment="1" applyProtection="1">
      <alignment horizontal="center"/>
    </xf>
    <xf numFmtId="0" fontId="11" fillId="3" borderId="80" xfId="0" applyFont="1" applyFill="1" applyBorder="1" applyAlignment="1" applyProtection="1">
      <alignment horizontal="center"/>
    </xf>
    <xf numFmtId="0" fontId="42" fillId="2" borderId="124" xfId="0" applyFont="1" applyFill="1" applyBorder="1" applyAlignment="1" applyProtection="1">
      <alignment horizontal="center"/>
    </xf>
    <xf numFmtId="0" fontId="15" fillId="9" borderId="1" xfId="0" applyFont="1" applyFill="1" applyBorder="1" applyAlignment="1" applyProtection="1">
      <alignment horizontal="center"/>
    </xf>
    <xf numFmtId="0" fontId="11" fillId="9" borderId="1" xfId="0" applyFont="1" applyFill="1" applyBorder="1" applyAlignment="1" applyProtection="1">
      <alignment horizontal="center"/>
      <protection locked="0"/>
    </xf>
    <xf numFmtId="164" fontId="11" fillId="0" borderId="0" xfId="0" applyNumberFormat="1" applyFont="1" applyFill="1" applyBorder="1" applyAlignment="1" applyProtection="1">
      <alignment horizontal="center"/>
    </xf>
    <xf numFmtId="44" fontId="6" fillId="3" borderId="131" xfId="0" applyNumberFormat="1" applyFont="1" applyFill="1" applyBorder="1" applyAlignment="1" applyProtection="1">
      <alignment horizontal="center"/>
    </xf>
    <xf numFmtId="42" fontId="6" fillId="13" borderId="9" xfId="0" applyNumberFormat="1" applyFont="1" applyFill="1" applyBorder="1" applyAlignment="1" applyProtection="1">
      <alignment horizontal="center"/>
    </xf>
    <xf numFmtId="165" fontId="136" fillId="0" borderId="0" xfId="0" applyNumberFormat="1" applyFont="1" applyFill="1" applyBorder="1" applyAlignment="1" applyProtection="1">
      <alignment horizontal="right"/>
    </xf>
    <xf numFmtId="173" fontId="81" fillId="9" borderId="1" xfId="2" applyNumberFormat="1" applyFont="1" applyFill="1" applyBorder="1" applyAlignment="1" applyProtection="1">
      <alignment horizontal="center"/>
      <protection locked="0"/>
    </xf>
    <xf numFmtId="9" fontId="81" fillId="9" borderId="1" xfId="2" applyFont="1" applyFill="1" applyBorder="1" applyAlignment="1" applyProtection="1">
      <alignment horizontal="center"/>
      <protection locked="0"/>
    </xf>
    <xf numFmtId="44" fontId="92" fillId="0" borderId="0" xfId="0" applyNumberFormat="1" applyFont="1" applyProtection="1"/>
    <xf numFmtId="189" fontId="6" fillId="0" borderId="1" xfId="0" applyNumberFormat="1" applyFont="1" applyFill="1" applyBorder="1" applyAlignment="1" applyProtection="1">
      <alignment horizontal="center"/>
      <protection locked="0"/>
    </xf>
    <xf numFmtId="10" fontId="92" fillId="0" borderId="0" xfId="0" applyNumberFormat="1" applyFont="1" applyFill="1" applyAlignment="1" applyProtection="1">
      <alignment horizontal="center"/>
      <protection locked="0"/>
    </xf>
    <xf numFmtId="167" fontId="105" fillId="5" borderId="0" xfId="0" applyNumberFormat="1" applyFont="1" applyFill="1" applyAlignment="1" applyProtection="1">
      <alignment horizontal="right"/>
      <protection locked="0"/>
    </xf>
    <xf numFmtId="0" fontId="150" fillId="0" borderId="0" xfId="0" applyFont="1" applyAlignment="1" applyProtection="1">
      <alignment horizontal="left"/>
    </xf>
    <xf numFmtId="0" fontId="105" fillId="0" borderId="0" xfId="0" applyFont="1" applyProtection="1"/>
    <xf numFmtId="165" fontId="105" fillId="0" borderId="0" xfId="0" applyNumberFormat="1" applyFont="1" applyFill="1" applyBorder="1" applyAlignment="1" applyProtection="1">
      <alignment horizontal="left"/>
      <protection locked="0"/>
    </xf>
    <xf numFmtId="0" fontId="6" fillId="9" borderId="22" xfId="0" applyFont="1" applyFill="1" applyBorder="1" applyProtection="1"/>
    <xf numFmtId="186" fontId="92" fillId="0" borderId="0" xfId="0" applyNumberFormat="1" applyFont="1" applyFill="1" applyAlignment="1" applyProtection="1">
      <alignment horizontal="center"/>
      <protection locked="0"/>
    </xf>
    <xf numFmtId="186" fontId="92" fillId="7" borderId="0" xfId="0" applyNumberFormat="1" applyFont="1" applyFill="1" applyAlignment="1" applyProtection="1">
      <alignment horizontal="center"/>
      <protection locked="0"/>
    </xf>
    <xf numFmtId="165" fontId="92" fillId="0" borderId="0" xfId="0" applyNumberFormat="1" applyFont="1" applyAlignment="1" applyProtection="1">
      <alignment horizontal="left"/>
    </xf>
    <xf numFmtId="0" fontId="96" fillId="9" borderId="0" xfId="0" applyFont="1" applyFill="1" applyBorder="1" applyAlignment="1" applyProtection="1">
      <alignment horizontal="left"/>
    </xf>
    <xf numFmtId="0" fontId="6" fillId="3" borderId="132" xfId="0" applyFont="1" applyFill="1" applyBorder="1" applyAlignment="1" applyProtection="1">
      <alignment horizontal="center"/>
    </xf>
    <xf numFmtId="42" fontId="93" fillId="6" borderId="35" xfId="0" applyNumberFormat="1" applyFont="1" applyFill="1" applyBorder="1" applyAlignment="1" applyProtection="1">
      <alignment horizontal="center"/>
    </xf>
    <xf numFmtId="0" fontId="39" fillId="8" borderId="133" xfId="0" applyFont="1" applyFill="1" applyBorder="1" applyAlignment="1" applyProtection="1">
      <alignment horizontal="center"/>
    </xf>
    <xf numFmtId="0" fontId="0" fillId="11" borderId="0" xfId="0" applyFill="1" applyBorder="1" applyProtection="1"/>
    <xf numFmtId="0" fontId="0" fillId="11" borderId="27" xfId="0" applyFill="1" applyBorder="1" applyProtection="1"/>
    <xf numFmtId="0" fontId="0" fillId="11" borderId="28" xfId="0" applyFill="1" applyBorder="1" applyProtection="1"/>
    <xf numFmtId="0" fontId="0" fillId="11" borderId="6" xfId="0" applyFill="1" applyBorder="1" applyProtection="1"/>
    <xf numFmtId="42" fontId="93" fillId="6" borderId="134" xfId="0" applyNumberFormat="1" applyFont="1" applyFill="1" applyBorder="1" applyAlignment="1" applyProtection="1">
      <alignment horizontal="center"/>
    </xf>
    <xf numFmtId="42" fontId="93" fillId="6" borderId="135" xfId="0" applyNumberFormat="1" applyFont="1" applyFill="1" applyBorder="1" applyAlignment="1" applyProtection="1">
      <alignment horizontal="center"/>
    </xf>
    <xf numFmtId="0" fontId="6" fillId="3" borderId="122" xfId="0" applyFont="1" applyFill="1" applyBorder="1" applyAlignment="1" applyProtection="1">
      <alignment horizontal="center"/>
    </xf>
    <xf numFmtId="0" fontId="7" fillId="9" borderId="0" xfId="0" applyFont="1" applyFill="1" applyBorder="1" applyProtection="1"/>
    <xf numFmtId="0" fontId="6" fillId="9" borderId="50" xfId="0" applyFont="1" applyFill="1" applyBorder="1" applyProtection="1"/>
    <xf numFmtId="0" fontId="0" fillId="9" borderId="0" xfId="0" applyFill="1" applyBorder="1"/>
    <xf numFmtId="0" fontId="6" fillId="2" borderId="26" xfId="0" applyFont="1" applyFill="1" applyBorder="1" applyProtection="1"/>
    <xf numFmtId="0" fontId="6" fillId="3" borderId="131" xfId="0" applyFont="1" applyFill="1" applyBorder="1" applyAlignment="1" applyProtection="1">
      <alignment horizontal="left"/>
    </xf>
    <xf numFmtId="0" fontId="6" fillId="3" borderId="131" xfId="0" applyFont="1" applyFill="1" applyBorder="1" applyAlignment="1" applyProtection="1"/>
    <xf numFmtId="0" fontId="6" fillId="2" borderId="136" xfId="0" applyFont="1" applyFill="1" applyBorder="1" applyProtection="1"/>
    <xf numFmtId="0" fontId="53" fillId="2" borderId="50" xfId="0" applyFont="1" applyFill="1" applyBorder="1" applyProtection="1"/>
    <xf numFmtId="0" fontId="54" fillId="2" borderId="50" xfId="0" applyFont="1" applyFill="1" applyBorder="1" applyProtection="1"/>
    <xf numFmtId="0" fontId="55" fillId="2" borderId="50" xfId="0" applyFont="1" applyFill="1" applyBorder="1" applyAlignment="1" applyProtection="1">
      <alignment horizontal="center"/>
    </xf>
    <xf numFmtId="0" fontId="54" fillId="2" borderId="50" xfId="0" applyFont="1" applyFill="1" applyBorder="1" applyAlignment="1" applyProtection="1">
      <alignment horizontal="center"/>
    </xf>
    <xf numFmtId="42" fontId="93" fillId="9" borderId="50" xfId="0" applyNumberFormat="1" applyFont="1" applyFill="1" applyBorder="1" applyAlignment="1" applyProtection="1">
      <alignment horizontal="center"/>
    </xf>
    <xf numFmtId="0" fontId="54" fillId="11" borderId="50" xfId="0" applyFont="1" applyFill="1" applyBorder="1" applyAlignment="1" applyProtection="1">
      <alignment horizontal="center"/>
    </xf>
    <xf numFmtId="164" fontId="6" fillId="9" borderId="50" xfId="0" applyNumberFormat="1" applyFont="1" applyFill="1" applyBorder="1" applyAlignment="1" applyProtection="1">
      <alignment horizontal="center"/>
    </xf>
    <xf numFmtId="164" fontId="41" fillId="9" borderId="50" xfId="0" applyNumberFormat="1" applyFont="1" applyFill="1" applyBorder="1" applyAlignment="1" applyProtection="1"/>
    <xf numFmtId="0" fontId="6" fillId="11" borderId="136" xfId="0" applyFont="1" applyFill="1" applyBorder="1" applyProtection="1"/>
    <xf numFmtId="42" fontId="6" fillId="9" borderId="0" xfId="0" applyNumberFormat="1" applyFont="1" applyFill="1" applyBorder="1" applyProtection="1"/>
    <xf numFmtId="44" fontId="91" fillId="14" borderId="0" xfId="0" applyNumberFormat="1" applyFont="1" applyFill="1" applyBorder="1" applyProtection="1"/>
    <xf numFmtId="42" fontId="6" fillId="7" borderId="1" xfId="0" applyNumberFormat="1" applyFont="1" applyFill="1" applyBorder="1" applyAlignment="1" applyProtection="1">
      <alignment horizontal="center"/>
    </xf>
    <xf numFmtId="0" fontId="13" fillId="8" borderId="137" xfId="0" applyFont="1" applyFill="1" applyBorder="1" applyProtection="1"/>
    <xf numFmtId="0" fontId="11" fillId="3" borderId="130" xfId="0" applyFont="1" applyFill="1" applyBorder="1" applyProtection="1"/>
    <xf numFmtId="0" fontId="11" fillId="3" borderId="130" xfId="0" applyFont="1" applyFill="1" applyBorder="1" applyAlignment="1" applyProtection="1">
      <alignment horizontal="center"/>
    </xf>
    <xf numFmtId="42" fontId="91" fillId="14" borderId="1" xfId="0" applyNumberFormat="1" applyFont="1" applyFill="1" applyBorder="1" applyAlignment="1" applyProtection="1">
      <alignment horizontal="center"/>
    </xf>
    <xf numFmtId="0" fontId="92" fillId="11" borderId="1" xfId="0" applyFont="1" applyFill="1" applyBorder="1" applyAlignment="1" applyProtection="1">
      <alignment horizontal="left"/>
      <protection locked="0"/>
    </xf>
    <xf numFmtId="174" fontId="92" fillId="11" borderId="1" xfId="0" applyNumberFormat="1" applyFont="1" applyFill="1" applyBorder="1" applyAlignment="1" applyProtection="1">
      <alignment horizontal="center"/>
      <protection locked="0"/>
    </xf>
    <xf numFmtId="174" fontId="6" fillId="2" borderId="1" xfId="0" applyNumberFormat="1" applyFont="1" applyFill="1" applyBorder="1" applyAlignment="1" applyProtection="1">
      <alignment horizontal="center"/>
      <protection locked="0"/>
    </xf>
    <xf numFmtId="169" fontId="6" fillId="2" borderId="1" xfId="3" applyNumberFormat="1" applyFont="1" applyFill="1" applyBorder="1" applyAlignment="1" applyProtection="1">
      <alignment horizontal="center"/>
      <protection locked="0"/>
    </xf>
    <xf numFmtId="191" fontId="105" fillId="0" borderId="0" xfId="0" applyNumberFormat="1" applyFont="1" applyAlignment="1" applyProtection="1">
      <alignment horizontal="left"/>
    </xf>
    <xf numFmtId="192" fontId="105" fillId="0" borderId="0" xfId="0" applyNumberFormat="1" applyFont="1" applyAlignment="1" applyProtection="1">
      <alignment horizontal="left"/>
    </xf>
    <xf numFmtId="0" fontId="151" fillId="0" borderId="0" xfId="0" applyFont="1" applyFill="1" applyAlignment="1" applyProtection="1">
      <alignment horizontal="right"/>
    </xf>
    <xf numFmtId="186" fontId="151" fillId="0" borderId="0" xfId="0" applyNumberFormat="1" applyFont="1" applyAlignment="1" applyProtection="1">
      <alignment horizontal="left"/>
    </xf>
    <xf numFmtId="44" fontId="91" fillId="14" borderId="0" xfId="0" applyNumberFormat="1" applyFont="1" applyFill="1" applyBorder="1" applyAlignment="1" applyProtection="1">
      <alignment horizontal="center"/>
    </xf>
    <xf numFmtId="44" fontId="11" fillId="3" borderId="0" xfId="0" applyNumberFormat="1" applyFont="1" applyFill="1" applyProtection="1"/>
    <xf numFmtId="186" fontId="6" fillId="7" borderId="0" xfId="0" applyNumberFormat="1" applyFont="1" applyFill="1" applyBorder="1" applyAlignment="1" applyProtection="1">
      <alignment horizontal="center"/>
    </xf>
    <xf numFmtId="0" fontId="84" fillId="15" borderId="1" xfId="0" applyFont="1" applyFill="1" applyBorder="1" applyProtection="1"/>
    <xf numFmtId="164" fontId="13" fillId="9" borderId="1" xfId="0" applyNumberFormat="1" applyFont="1" applyFill="1" applyBorder="1" applyAlignment="1" applyProtection="1">
      <alignment horizontal="center"/>
    </xf>
    <xf numFmtId="182" fontId="13" fillId="9" borderId="1" xfId="0" applyNumberFormat="1" applyFont="1" applyFill="1" applyBorder="1" applyAlignment="1" applyProtection="1">
      <alignment horizontal="center"/>
    </xf>
    <xf numFmtId="164" fontId="13" fillId="9" borderId="14" xfId="0" applyNumberFormat="1" applyFont="1" applyFill="1" applyBorder="1" applyAlignment="1" applyProtection="1">
      <alignment horizontal="center"/>
    </xf>
    <xf numFmtId="0" fontId="11" fillId="11" borderId="138" xfId="0" applyFont="1" applyFill="1" applyBorder="1" applyProtection="1"/>
    <xf numFmtId="0" fontId="11" fillId="11" borderId="138" xfId="0" applyFont="1" applyFill="1" applyBorder="1" applyAlignment="1" applyProtection="1">
      <alignment horizontal="center"/>
    </xf>
    <xf numFmtId="164" fontId="13" fillId="11" borderId="138" xfId="0" applyNumberFormat="1" applyFont="1" applyFill="1" applyBorder="1" applyAlignment="1" applyProtection="1">
      <alignment horizontal="center"/>
    </xf>
    <xf numFmtId="0" fontId="6" fillId="11" borderId="139" xfId="0" applyFont="1" applyFill="1" applyBorder="1" applyProtection="1"/>
    <xf numFmtId="0" fontId="6" fillId="11" borderId="140" xfId="0" applyFont="1" applyFill="1" applyBorder="1" applyProtection="1"/>
    <xf numFmtId="0" fontId="0" fillId="11" borderId="30" xfId="0" applyFill="1" applyBorder="1" applyProtection="1"/>
    <xf numFmtId="0" fontId="0" fillId="11" borderId="31" xfId="0" applyFill="1" applyBorder="1" applyProtection="1"/>
    <xf numFmtId="0" fontId="0" fillId="11" borderId="5" xfId="0" applyFill="1" applyBorder="1" applyProtection="1"/>
    <xf numFmtId="0" fontId="6" fillId="11" borderId="141" xfId="0" applyFont="1" applyFill="1" applyBorder="1" applyProtection="1"/>
    <xf numFmtId="0" fontId="11" fillId="11" borderId="142" xfId="0" applyFont="1" applyFill="1" applyBorder="1" applyProtection="1"/>
    <xf numFmtId="0" fontId="11" fillId="11" borderId="142" xfId="0" applyFont="1" applyFill="1" applyBorder="1" applyAlignment="1" applyProtection="1">
      <alignment horizontal="center"/>
    </xf>
    <xf numFmtId="164" fontId="13" fillId="11" borderId="142" xfId="0" applyNumberFormat="1" applyFont="1" applyFill="1" applyBorder="1" applyAlignment="1" applyProtection="1">
      <alignment horizontal="center"/>
    </xf>
    <xf numFmtId="0" fontId="6" fillId="11" borderId="143" xfId="0" applyFont="1" applyFill="1" applyBorder="1" applyProtection="1"/>
    <xf numFmtId="0" fontId="6" fillId="2" borderId="144" xfId="0" applyFont="1" applyFill="1" applyBorder="1" applyProtection="1"/>
    <xf numFmtId="0" fontId="6" fillId="2" borderId="123" xfId="0" applyFont="1" applyFill="1" applyBorder="1" applyProtection="1"/>
    <xf numFmtId="0" fontId="11" fillId="11" borderId="0" xfId="0" applyFont="1" applyFill="1" applyBorder="1" applyAlignment="1" applyProtection="1">
      <alignment horizontal="center"/>
    </xf>
    <xf numFmtId="164" fontId="13" fillId="11" borderId="0" xfId="0" applyNumberFormat="1" applyFont="1" applyFill="1" applyBorder="1" applyAlignment="1" applyProtection="1">
      <alignment horizontal="center"/>
    </xf>
    <xf numFmtId="0" fontId="11" fillId="11" borderId="30" xfId="0" applyFont="1" applyFill="1" applyBorder="1" applyProtection="1"/>
    <xf numFmtId="0" fontId="11" fillId="11" borderId="30" xfId="0" applyFont="1" applyFill="1" applyBorder="1" applyAlignment="1" applyProtection="1">
      <alignment horizontal="center"/>
    </xf>
    <xf numFmtId="164" fontId="13" fillId="11" borderId="30" xfId="0" applyNumberFormat="1" applyFont="1" applyFill="1" applyBorder="1" applyAlignment="1" applyProtection="1">
      <alignment horizontal="center"/>
    </xf>
    <xf numFmtId="0" fontId="6" fillId="2" borderId="31" xfId="0" applyFont="1" applyFill="1" applyBorder="1" applyProtection="1"/>
    <xf numFmtId="0" fontId="0" fillId="11" borderId="128" xfId="0" applyFill="1" applyBorder="1" applyProtection="1"/>
    <xf numFmtId="42" fontId="13" fillId="0" borderId="1" xfId="0" applyNumberFormat="1" applyFont="1" applyFill="1" applyBorder="1" applyAlignment="1" applyProtection="1">
      <alignment horizontal="center"/>
      <protection locked="0"/>
    </xf>
    <xf numFmtId="0" fontId="6" fillId="11" borderId="3" xfId="0" applyFont="1" applyFill="1" applyBorder="1" applyProtection="1"/>
    <xf numFmtId="0" fontId="11" fillId="11" borderId="3" xfId="0" applyFont="1" applyFill="1" applyBorder="1" applyAlignment="1" applyProtection="1">
      <alignment horizontal="center"/>
    </xf>
    <xf numFmtId="164" fontId="13" fillId="11" borderId="3" xfId="0" applyNumberFormat="1" applyFont="1" applyFill="1" applyBorder="1" applyAlignment="1" applyProtection="1">
      <alignment horizontal="center"/>
    </xf>
    <xf numFmtId="0" fontId="6" fillId="9" borderId="12" xfId="0" applyFont="1" applyFill="1" applyBorder="1" applyAlignment="1" applyProtection="1"/>
    <xf numFmtId="0" fontId="11" fillId="3" borderId="48" xfId="0" applyFont="1" applyFill="1" applyBorder="1" applyProtection="1"/>
    <xf numFmtId="167" fontId="7" fillId="3" borderId="0" xfId="0" applyNumberFormat="1" applyFont="1" applyFill="1" applyBorder="1" applyAlignment="1" applyProtection="1">
      <alignment horizontal="center"/>
    </xf>
    <xf numFmtId="167" fontId="87" fillId="4" borderId="0" xfId="0" applyNumberFormat="1" applyFont="1" applyFill="1" applyBorder="1" applyAlignment="1" applyProtection="1">
      <alignment horizontal="center"/>
    </xf>
    <xf numFmtId="0" fontId="87" fillId="9" borderId="0" xfId="0" applyFont="1" applyFill="1" applyBorder="1" applyAlignment="1" applyProtection="1">
      <alignment horizontal="center"/>
    </xf>
    <xf numFmtId="186" fontId="6" fillId="9" borderId="0" xfId="0" applyNumberFormat="1" applyFont="1" applyFill="1" applyBorder="1" applyAlignment="1" applyProtection="1">
      <alignment horizontal="center"/>
    </xf>
    <xf numFmtId="1" fontId="92" fillId="13" borderId="30" xfId="0" applyNumberFormat="1" applyFont="1" applyFill="1" applyBorder="1" applyProtection="1">
      <protection locked="0"/>
    </xf>
    <xf numFmtId="10" fontId="11" fillId="7" borderId="145" xfId="0" applyNumberFormat="1" applyFont="1" applyFill="1" applyBorder="1" applyAlignment="1" applyProtection="1">
      <alignment horizontal="center"/>
    </xf>
    <xf numFmtId="44" fontId="0" fillId="0" borderId="145" xfId="0" applyNumberFormat="1" applyFont="1" applyFill="1" applyBorder="1" applyAlignment="1" applyProtection="1">
      <alignment horizontal="center"/>
      <protection locked="0"/>
    </xf>
    <xf numFmtId="164" fontId="13" fillId="9" borderId="0" xfId="0" applyNumberFormat="1" applyFont="1" applyFill="1" applyBorder="1" applyAlignment="1" applyProtection="1">
      <alignment horizontal="center"/>
    </xf>
    <xf numFmtId="182" fontId="13" fillId="9"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left"/>
      <protection locked="0"/>
    </xf>
    <xf numFmtId="164" fontId="41" fillId="10" borderId="1" xfId="0" applyNumberFormat="1" applyFont="1" applyFill="1" applyBorder="1" applyAlignment="1" applyProtection="1">
      <alignment horizontal="center"/>
    </xf>
    <xf numFmtId="164" fontId="93" fillId="10" borderId="0" xfId="0" applyNumberFormat="1" applyFont="1" applyFill="1" applyBorder="1" applyAlignment="1" applyProtection="1">
      <alignment horizontal="center"/>
    </xf>
    <xf numFmtId="10" fontId="144" fillId="7" borderId="0" xfId="0" applyNumberFormat="1" applyFont="1" applyFill="1" applyProtection="1">
      <protection locked="0"/>
    </xf>
    <xf numFmtId="182" fontId="92" fillId="0" borderId="0" xfId="0" applyNumberFormat="1" applyFont="1" applyFill="1" applyAlignment="1" applyProtection="1">
      <alignment horizontal="center"/>
    </xf>
    <xf numFmtId="9" fontId="92" fillId="0" borderId="0" xfId="0" applyNumberFormat="1" applyFont="1" applyFill="1" applyAlignment="1" applyProtection="1">
      <alignment horizontal="center"/>
      <protection locked="0"/>
    </xf>
    <xf numFmtId="0" fontId="15" fillId="9" borderId="74" xfId="0" applyFont="1" applyFill="1" applyBorder="1" applyAlignment="1" applyProtection="1">
      <alignment horizontal="right"/>
    </xf>
    <xf numFmtId="0" fontId="13" fillId="9" borderId="0" xfId="0" applyFont="1" applyFill="1" applyBorder="1" applyAlignment="1" applyProtection="1">
      <alignment horizontal="right"/>
    </xf>
    <xf numFmtId="42" fontId="13" fillId="7" borderId="0" xfId="0" applyNumberFormat="1" applyFont="1" applyFill="1" applyBorder="1" applyProtection="1"/>
    <xf numFmtId="189" fontId="11" fillId="13" borderId="1" xfId="0" applyNumberFormat="1" applyFont="1" applyFill="1" applyBorder="1" applyAlignment="1" applyProtection="1">
      <alignment horizontal="center"/>
      <protection locked="0"/>
    </xf>
    <xf numFmtId="189" fontId="11" fillId="3" borderId="1" xfId="0" applyNumberFormat="1" applyFont="1" applyFill="1" applyBorder="1" applyAlignment="1" applyProtection="1">
      <alignment horizontal="center"/>
    </xf>
    <xf numFmtId="189" fontId="6" fillId="5" borderId="1" xfId="0" applyNumberFormat="1" applyFont="1" applyFill="1" applyBorder="1" applyAlignment="1" applyProtection="1">
      <alignment horizontal="center"/>
    </xf>
    <xf numFmtId="189" fontId="42" fillId="4" borderId="1" xfId="0" applyNumberFormat="1" applyFont="1" applyFill="1" applyBorder="1" applyAlignment="1" applyProtection="1">
      <alignment horizontal="center"/>
    </xf>
    <xf numFmtId="3" fontId="92" fillId="0" borderId="0" xfId="0" applyNumberFormat="1" applyFont="1" applyFill="1" applyAlignment="1" applyProtection="1">
      <alignment horizontal="left"/>
    </xf>
    <xf numFmtId="186" fontId="92" fillId="0" borderId="0" xfId="0" applyNumberFormat="1" applyFont="1" applyFill="1" applyBorder="1" applyAlignment="1" applyProtection="1">
      <alignment horizontal="left"/>
    </xf>
    <xf numFmtId="3" fontId="92" fillId="0" borderId="0" xfId="0" applyNumberFormat="1" applyFont="1" applyFill="1" applyBorder="1" applyAlignment="1" applyProtection="1">
      <alignment horizontal="left"/>
    </xf>
    <xf numFmtId="10" fontId="92" fillId="0" borderId="0" xfId="0" applyNumberFormat="1" applyFont="1" applyFill="1" applyBorder="1" applyAlignment="1" applyProtection="1">
      <alignment horizontal="left"/>
    </xf>
    <xf numFmtId="0" fontId="105" fillId="0" borderId="0" xfId="0" applyFont="1" applyFill="1" applyAlignment="1" applyProtection="1">
      <alignment horizontal="left"/>
    </xf>
    <xf numFmtId="0" fontId="7" fillId="0" borderId="0" xfId="0" applyFont="1" applyFill="1"/>
  </cellXfs>
  <cellStyles count="4">
    <cellStyle name="Hyperlink" xfId="1" builtinId="8"/>
    <cellStyle name="Procent" xfId="2" builtinId="5"/>
    <cellStyle name="Standaard" xfId="0" builtinId="0"/>
    <cellStyle name="Valuta" xfId="3" builtinId="4"/>
  </cellStyles>
  <dxfs count="0"/>
  <tableStyles count="0" defaultTableStyle="TableStyleMedium9" defaultPivotStyle="PivotStyleLight16"/>
  <colors>
    <mruColors>
      <color rgb="FF0066CC"/>
      <color rgb="FF006EC0"/>
      <color rgb="FFFFFF99"/>
      <color rgb="FFFFFFCC"/>
      <color rgb="FFA40000"/>
      <color rgb="FF993300"/>
      <color rgb="FFFFFF00"/>
      <color rgb="FFC0C0C0"/>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Liquide Middelen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2480452.5249999999</c:v>
              </c:pt>
              <c:pt idx="2">
                <c:v>3694342.9400000018</c:v>
              </c:pt>
              <c:pt idx="3">
                <c:v>4888836.4400000023</c:v>
              </c:pt>
            </c:numLit>
          </c:val>
        </c:ser>
        <c:dLbls>
          <c:showLegendKey val="0"/>
          <c:showVal val="1"/>
          <c:showCatName val="0"/>
          <c:showSerName val="0"/>
          <c:showPercent val="0"/>
          <c:showBubbleSize val="0"/>
        </c:dLbls>
        <c:gapWidth val="150"/>
        <c:axId val="-62815968"/>
        <c:axId val="-62812160"/>
      </c:barChart>
      <c:catAx>
        <c:axId val="-62815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62812160"/>
        <c:crosses val="autoZero"/>
        <c:auto val="1"/>
        <c:lblAlgn val="ctr"/>
        <c:lblOffset val="100"/>
        <c:tickLblSkip val="1"/>
        <c:tickMarkSkip val="1"/>
        <c:noMultiLvlLbl val="0"/>
      </c:catAx>
      <c:valAx>
        <c:axId val="-6281216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6281596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Rentabiliteit</a:t>
            </a:r>
          </a:p>
        </c:rich>
      </c:tx>
      <c:layout>
        <c:manualLayout>
          <c:xMode val="edge"/>
          <c:yMode val="edge"/>
          <c:x val="0.3991031440218909"/>
          <c:y val="3.5190615835777136E-2"/>
        </c:manualLayout>
      </c:layout>
      <c:overlay val="0"/>
      <c:spPr>
        <a:noFill/>
        <a:ln w="25400">
          <a:noFill/>
        </a:ln>
      </c:spPr>
    </c:title>
    <c:autoTitleDeleted val="0"/>
    <c:plotArea>
      <c:layout>
        <c:manualLayout>
          <c:layoutTarget val="inner"/>
          <c:xMode val="edge"/>
          <c:yMode val="edge"/>
          <c:x val="0.15919282511210794"/>
          <c:y val="0.19648093841642431"/>
          <c:w val="0.8094170403587444"/>
          <c:h val="0.67155425219942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bal!$J$66:$N$66</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8203712"/>
        <c:axId val="-2028202080"/>
      </c:barChart>
      <c:catAx>
        <c:axId val="-2028203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02080"/>
        <c:crosses val="autoZero"/>
        <c:auto val="1"/>
        <c:lblAlgn val="ctr"/>
        <c:lblOffset val="100"/>
        <c:tickLblSkip val="1"/>
        <c:tickMarkSkip val="1"/>
        <c:noMultiLvlLbl val="0"/>
      </c:catAx>
      <c:valAx>
        <c:axId val="-2028202080"/>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0371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Weerstandsvermogen</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848231558916034"/>
          <c:y val="0.19822485207100593"/>
          <c:w val="0.81026874026569939"/>
          <c:h val="0.66863905325444806"/>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bal!$J$67:$N$67</c:f>
              <c:numCache>
                <c:formatCode>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8214048"/>
        <c:axId val="-2028213504"/>
      </c:barChart>
      <c:catAx>
        <c:axId val="-2028214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13504"/>
        <c:crosses val="autoZero"/>
        <c:auto val="1"/>
        <c:lblAlgn val="ctr"/>
        <c:lblOffset val="100"/>
        <c:tickLblSkip val="1"/>
        <c:tickMarkSkip val="1"/>
        <c:noMultiLvlLbl val="0"/>
      </c:catAx>
      <c:valAx>
        <c:axId val="-2028213504"/>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1404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Rijksbijdragen OCW</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5559923.8624999998</c:v>
              </c:pt>
              <c:pt idx="1">
                <c:v>5584447.4375000009</c:v>
              </c:pt>
              <c:pt idx="2">
                <c:v>5584138.3000000017</c:v>
              </c:pt>
              <c:pt idx="3">
                <c:v>5584138.3000000017</c:v>
              </c:pt>
            </c:numLit>
          </c:val>
        </c:ser>
        <c:dLbls>
          <c:showLegendKey val="0"/>
          <c:showVal val="1"/>
          <c:showCatName val="0"/>
          <c:showSerName val="0"/>
          <c:showPercent val="0"/>
          <c:showBubbleSize val="0"/>
        </c:dLbls>
        <c:gapWidth val="150"/>
        <c:axId val="-2027898432"/>
        <c:axId val="-2027898976"/>
      </c:barChart>
      <c:catAx>
        <c:axId val="-2027898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898976"/>
        <c:crosses val="autoZero"/>
        <c:auto val="1"/>
        <c:lblAlgn val="ctr"/>
        <c:lblOffset val="100"/>
        <c:tickLblSkip val="1"/>
        <c:tickMarkSkip val="1"/>
        <c:noMultiLvlLbl val="0"/>
      </c:catAx>
      <c:valAx>
        <c:axId val="-202789897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8984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Personele 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Ref>
              <c:f>{}</c:f>
            </c:numRef>
          </c:val>
        </c:ser>
        <c:dLbls>
          <c:showLegendKey val="0"/>
          <c:showVal val="1"/>
          <c:showCatName val="0"/>
          <c:showSerName val="0"/>
          <c:showPercent val="0"/>
          <c:showBubbleSize val="0"/>
        </c:dLbls>
        <c:gapWidth val="150"/>
        <c:axId val="-2027897888"/>
        <c:axId val="-2027909312"/>
      </c:barChart>
      <c:catAx>
        <c:axId val="-2027897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09312"/>
        <c:crosses val="autoZero"/>
        <c:auto val="1"/>
        <c:lblAlgn val="ctr"/>
        <c:lblOffset val="100"/>
        <c:tickLblSkip val="1"/>
        <c:tickMarkSkip val="1"/>
        <c:noMultiLvlLbl val="0"/>
      </c:catAx>
      <c:valAx>
        <c:axId val="-2027909312"/>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89788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Afschrijvingen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2027906592"/>
        <c:axId val="-2027912576"/>
      </c:barChart>
      <c:catAx>
        <c:axId val="-2027906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12576"/>
        <c:crosses val="autoZero"/>
        <c:auto val="1"/>
        <c:lblAlgn val="ctr"/>
        <c:lblOffset val="100"/>
        <c:tickLblSkip val="1"/>
        <c:tickMarkSkip val="1"/>
        <c:noMultiLvlLbl val="0"/>
      </c:catAx>
      <c:valAx>
        <c:axId val="-202791257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0659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Huisvestingslasten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2027907680"/>
        <c:axId val="-2027912032"/>
      </c:barChart>
      <c:catAx>
        <c:axId val="-202790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12032"/>
        <c:crosses val="autoZero"/>
        <c:auto val="1"/>
        <c:lblAlgn val="ctr"/>
        <c:lblOffset val="100"/>
        <c:tickLblSkip val="1"/>
        <c:tickMarkSkip val="1"/>
        <c:noMultiLvlLbl val="0"/>
      </c:catAx>
      <c:valAx>
        <c:axId val="-202791203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0768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instellingslasten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ser>
        <c:dLbls>
          <c:showLegendKey val="0"/>
          <c:showVal val="1"/>
          <c:showCatName val="0"/>
          <c:showSerName val="0"/>
          <c:showPercent val="0"/>
          <c:showBubbleSize val="0"/>
        </c:dLbls>
        <c:gapWidth val="150"/>
        <c:axId val="-2027908224"/>
        <c:axId val="-2027904416"/>
      </c:barChart>
      <c:catAx>
        <c:axId val="-2027908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04416"/>
        <c:crosses val="autoZero"/>
        <c:auto val="1"/>
        <c:lblAlgn val="ctr"/>
        <c:lblOffset val="100"/>
        <c:tickLblSkip val="1"/>
        <c:tickMarkSkip val="1"/>
        <c:noMultiLvlLbl val="0"/>
      </c:catAx>
      <c:valAx>
        <c:axId val="-20279044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0822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Onderwijsleermiddelen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2027900064"/>
        <c:axId val="-2027903328"/>
      </c:barChart>
      <c:catAx>
        <c:axId val="-202790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03328"/>
        <c:crosses val="autoZero"/>
        <c:auto val="1"/>
        <c:lblAlgn val="ctr"/>
        <c:lblOffset val="100"/>
        <c:tickLblSkip val="1"/>
        <c:tickMarkSkip val="1"/>
        <c:noMultiLvlLbl val="0"/>
      </c:catAx>
      <c:valAx>
        <c:axId val="-2027903328"/>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9000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Resultaat </a:t>
            </a:r>
          </a:p>
        </c:rich>
      </c:tx>
      <c:layout>
        <c:manualLayout>
          <c:xMode val="edge"/>
          <c:yMode val="edge"/>
          <c:x val="0.42187542733629052"/>
          <c:y val="3.5502958579881658E-2"/>
        </c:manualLayout>
      </c:layout>
      <c:overlay val="0"/>
      <c:spPr>
        <a:noFill/>
        <a:ln w="25400">
          <a:noFill/>
        </a:ln>
      </c:spPr>
    </c:title>
    <c:autoTitleDeleted val="0"/>
    <c:plotArea>
      <c:layout>
        <c:manualLayout>
          <c:layoutTarget val="inner"/>
          <c:xMode val="edge"/>
          <c:yMode val="edge"/>
          <c:x val="0.19642878551895743"/>
          <c:y val="0.19822485207100593"/>
          <c:w val="0.77232227033590084"/>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begr!$G$40:$K$40</c:f>
              <c:numCache>
                <c:formatCode>_-"€"\ * #,##0_-;_-"€"\ * #,##0\-;_-"€"\ *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7899520"/>
        <c:axId val="-2027901152"/>
      </c:barChart>
      <c:catAx>
        <c:axId val="-202789952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901152"/>
        <c:crosses val="autoZero"/>
        <c:auto val="1"/>
        <c:lblAlgn val="ctr"/>
        <c:lblOffset val="100"/>
        <c:tickLblSkip val="1"/>
        <c:tickMarkSkip val="1"/>
        <c:noMultiLvlLbl val="0"/>
      </c:catAx>
      <c:valAx>
        <c:axId val="-2027901152"/>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89952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Leerlingenverloop</a:t>
            </a:r>
          </a:p>
        </c:rich>
      </c:tx>
      <c:layout>
        <c:manualLayout>
          <c:xMode val="edge"/>
          <c:yMode val="edge"/>
          <c:x val="0.34821456141511731"/>
          <c:y val="3.5294117647058851E-2"/>
        </c:manualLayout>
      </c:layout>
      <c:overlay val="0"/>
      <c:spPr>
        <a:noFill/>
        <a:ln w="25400">
          <a:noFill/>
        </a:ln>
      </c:spPr>
    </c:title>
    <c:autoTitleDeleted val="0"/>
    <c:plotArea>
      <c:layout>
        <c:manualLayout>
          <c:layoutTarget val="inner"/>
          <c:xMode val="edge"/>
          <c:yMode val="edge"/>
          <c:x val="7.75122962570855E-2"/>
          <c:y val="0.19705913231434305"/>
          <c:w val="0.87723309896534396"/>
          <c:h val="0.58823613889610338"/>
        </c:manualLayout>
      </c:layout>
      <c:barChart>
        <c:barDir val="col"/>
        <c:grouping val="clustered"/>
        <c:varyColors val="0"/>
        <c:ser>
          <c:idx val="1"/>
          <c:order val="0"/>
          <c:tx>
            <c:v>LWOO</c:v>
          </c:tx>
          <c:spPr>
            <a:solidFill>
              <a:srgbClr val="993366"/>
            </a:solidFill>
            <a:ln w="12700">
              <a:solidFill>
                <a:srgbClr val="000000"/>
              </a:solidFill>
              <a:prstDash val="solid"/>
            </a:ln>
          </c:spPr>
          <c:invertIfNegative val="0"/>
          <c:dLbls>
            <c:delete val="1"/>
          </c:dLbls>
          <c:cat>
            <c:numRef>
              <c:f>'geg ZO'!$J$19:$O$19</c:f>
              <c:numCache>
                <c:formatCode>General</c:formatCode>
                <c:ptCount val="6"/>
                <c:pt idx="0">
                  <c:v>2014</c:v>
                </c:pt>
                <c:pt idx="1">
                  <c:v>2015</c:v>
                </c:pt>
                <c:pt idx="2">
                  <c:v>2016</c:v>
                </c:pt>
                <c:pt idx="3">
                  <c:v>2017</c:v>
                </c:pt>
                <c:pt idx="4">
                  <c:v>2018</c:v>
                </c:pt>
                <c:pt idx="5">
                  <c:v>2019</c:v>
                </c:pt>
              </c:numCache>
            </c:numRef>
          </c:cat>
          <c:val>
            <c:numRef>
              <c:f>'geg ZO'!$J$24:$O$24</c:f>
              <c:numCache>
                <c:formatCode>#,##0.0</c:formatCode>
                <c:ptCount val="6"/>
                <c:pt idx="0">
                  <c:v>0</c:v>
                </c:pt>
                <c:pt idx="1">
                  <c:v>0</c:v>
                </c:pt>
                <c:pt idx="2">
                  <c:v>0</c:v>
                </c:pt>
                <c:pt idx="3">
                  <c:v>0</c:v>
                </c:pt>
                <c:pt idx="4">
                  <c:v>0</c:v>
                </c:pt>
                <c:pt idx="5">
                  <c:v>0</c:v>
                </c:pt>
              </c:numCache>
            </c:numRef>
          </c:val>
        </c:ser>
        <c:ser>
          <c:idx val="2"/>
          <c:order val="1"/>
          <c:tx>
            <c:v>PRO</c:v>
          </c:tx>
          <c:spPr>
            <a:solidFill>
              <a:srgbClr val="FFFFCC"/>
            </a:solidFill>
            <a:ln w="12700">
              <a:solidFill>
                <a:srgbClr val="000000"/>
              </a:solidFill>
              <a:prstDash val="solid"/>
            </a:ln>
          </c:spPr>
          <c:invertIfNegative val="0"/>
          <c:dLbls>
            <c:delete val="1"/>
          </c:dLbls>
          <c:cat>
            <c:numRef>
              <c:f>'geg ZO'!$J$19:$O$19</c:f>
              <c:numCache>
                <c:formatCode>General</c:formatCode>
                <c:ptCount val="6"/>
                <c:pt idx="0">
                  <c:v>2014</c:v>
                </c:pt>
                <c:pt idx="1">
                  <c:v>2015</c:v>
                </c:pt>
                <c:pt idx="2">
                  <c:v>2016</c:v>
                </c:pt>
                <c:pt idx="3">
                  <c:v>2017</c:v>
                </c:pt>
                <c:pt idx="4">
                  <c:v>2018</c:v>
                </c:pt>
                <c:pt idx="5">
                  <c:v>2019</c:v>
                </c:pt>
              </c:numCache>
            </c:numRef>
          </c:cat>
          <c:val>
            <c:numRef>
              <c:f>'geg ZO'!$J$25:$O$25</c:f>
              <c:numCache>
                <c:formatCode>#,##0.0</c:formatCode>
                <c:ptCount val="6"/>
                <c:pt idx="0">
                  <c:v>0</c:v>
                </c:pt>
                <c:pt idx="1">
                  <c:v>0</c:v>
                </c:pt>
                <c:pt idx="2">
                  <c:v>0</c:v>
                </c:pt>
                <c:pt idx="3">
                  <c:v>0</c:v>
                </c:pt>
                <c:pt idx="4">
                  <c:v>0</c:v>
                </c:pt>
                <c:pt idx="5">
                  <c:v>0</c:v>
                </c:pt>
              </c:numCache>
            </c:numRef>
          </c:val>
        </c:ser>
        <c:ser>
          <c:idx val="4"/>
          <c:order val="2"/>
          <c:tx>
            <c:v>VSO</c:v>
          </c:tx>
          <c:invertIfNegative val="0"/>
          <c:dLbls>
            <c:delete val="1"/>
          </c:dLbls>
          <c:cat>
            <c:numRef>
              <c:f>'geg ZO'!$J$19:$O$19</c:f>
              <c:numCache>
                <c:formatCode>General</c:formatCode>
                <c:ptCount val="6"/>
                <c:pt idx="0">
                  <c:v>2014</c:v>
                </c:pt>
                <c:pt idx="1">
                  <c:v>2015</c:v>
                </c:pt>
                <c:pt idx="2">
                  <c:v>2016</c:v>
                </c:pt>
                <c:pt idx="3">
                  <c:v>2017</c:v>
                </c:pt>
                <c:pt idx="4">
                  <c:v>2018</c:v>
                </c:pt>
                <c:pt idx="5">
                  <c:v>2019</c:v>
                </c:pt>
              </c:numCache>
            </c:numRef>
          </c:cat>
          <c:val>
            <c:numRef>
              <c:f>'geg ZO'!$J$35:$O$35</c:f>
              <c:numCache>
                <c:formatCode>General</c:formatCode>
                <c:ptCount val="6"/>
                <c:pt idx="0">
                  <c:v>0</c:v>
                </c:pt>
                <c:pt idx="1">
                  <c:v>0</c:v>
                </c:pt>
                <c:pt idx="2">
                  <c:v>0</c:v>
                </c:pt>
                <c:pt idx="3">
                  <c:v>0</c:v>
                </c:pt>
                <c:pt idx="4">
                  <c:v>0</c:v>
                </c:pt>
                <c:pt idx="5">
                  <c:v>0</c:v>
                </c:pt>
              </c:numCache>
            </c:numRef>
          </c:val>
        </c:ser>
        <c:dLbls>
          <c:showLegendKey val="0"/>
          <c:showVal val="1"/>
          <c:showCatName val="0"/>
          <c:showSerName val="0"/>
          <c:showPercent val="0"/>
          <c:showBubbleSize val="0"/>
        </c:dLbls>
        <c:gapWidth val="150"/>
        <c:axId val="-2027538064"/>
        <c:axId val="-2027539152"/>
      </c:barChart>
      <c:catAx>
        <c:axId val="-2027538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39152"/>
        <c:crosses val="autoZero"/>
        <c:auto val="1"/>
        <c:lblAlgn val="ctr"/>
        <c:lblOffset val="100"/>
        <c:noMultiLvlLbl val="0"/>
      </c:catAx>
      <c:valAx>
        <c:axId val="-2027539152"/>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380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8.5976821443365672E-2"/>
          <c:y val="0.90033741845401982"/>
          <c:w val="0.87021948594122722"/>
          <c:h val="8.508159139635530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Personeel</a:t>
            </a:r>
          </a:p>
        </c:rich>
      </c:tx>
      <c:layout>
        <c:manualLayout>
          <c:xMode val="edge"/>
          <c:yMode val="edge"/>
          <c:x val="0.35346833251839233"/>
          <c:y val="3.5190615835777136E-2"/>
        </c:manualLayout>
      </c:layout>
      <c:overlay val="0"/>
      <c:spPr>
        <a:noFill/>
        <a:ln w="25400">
          <a:noFill/>
        </a:ln>
      </c:spPr>
    </c:title>
    <c:autoTitleDeleted val="0"/>
    <c:plotArea>
      <c:layout>
        <c:manualLayout>
          <c:layoutTarget val="inner"/>
          <c:xMode val="edge"/>
          <c:yMode val="edge"/>
          <c:x val="0.22147699392869538"/>
          <c:y val="0.19648093841642431"/>
          <c:w val="0.74720521184024535"/>
          <c:h val="0.58944281524926656"/>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tab!$E$4:$J$4</c:f>
              <c:numCache>
                <c:formatCode>0</c:formatCode>
                <c:ptCount val="6"/>
                <c:pt idx="0">
                  <c:v>2015</c:v>
                </c:pt>
                <c:pt idx="1">
                  <c:v>2016</c:v>
                </c:pt>
                <c:pt idx="2">
                  <c:v>2017</c:v>
                </c:pt>
                <c:pt idx="3">
                  <c:v>2018</c:v>
                </c:pt>
                <c:pt idx="4">
                  <c:v>2019</c:v>
                </c:pt>
                <c:pt idx="5">
                  <c:v>2020</c:v>
                </c:pt>
              </c:numCache>
            </c:numRef>
          </c:cat>
          <c:val>
            <c:numRef>
              <c:f>pers!$H$245:$M$245</c:f>
              <c:numCache>
                <c:formatCode>_-"€"\ * #,##0_-;_-"€"\ * #,##0\-;_-"€"\ * "-"_-;_-@_-</c:formatCode>
                <c:ptCount val="6"/>
                <c:pt idx="0">
                  <c:v>0</c:v>
                </c:pt>
                <c:pt idx="1">
                  <c:v>0</c:v>
                </c:pt>
                <c:pt idx="2">
                  <c:v>0</c:v>
                </c:pt>
                <c:pt idx="3">
                  <c:v>0</c:v>
                </c:pt>
                <c:pt idx="4">
                  <c:v>0</c:v>
                </c:pt>
                <c:pt idx="5">
                  <c:v>0</c:v>
                </c:pt>
              </c:numCache>
            </c:numRef>
          </c:val>
        </c:ser>
        <c:ser>
          <c:idx val="1"/>
          <c:order val="1"/>
          <c:tx>
            <c:v>lasten</c:v>
          </c:tx>
          <c:spPr>
            <a:solidFill>
              <a:srgbClr val="FFCC99"/>
            </a:solidFill>
            <a:ln w="12700">
              <a:solidFill>
                <a:srgbClr val="000000"/>
              </a:solidFill>
              <a:prstDash val="solid"/>
            </a:ln>
          </c:spPr>
          <c:invertIfNegative val="0"/>
          <c:cat>
            <c:numRef>
              <c:f>tab!$E$4:$J$4</c:f>
              <c:numCache>
                <c:formatCode>0</c:formatCode>
                <c:ptCount val="6"/>
                <c:pt idx="0">
                  <c:v>2015</c:v>
                </c:pt>
                <c:pt idx="1">
                  <c:v>2016</c:v>
                </c:pt>
                <c:pt idx="2">
                  <c:v>2017</c:v>
                </c:pt>
                <c:pt idx="3">
                  <c:v>2018</c:v>
                </c:pt>
                <c:pt idx="4">
                  <c:v>2019</c:v>
                </c:pt>
                <c:pt idx="5">
                  <c:v>2020</c:v>
                </c:pt>
              </c:numCache>
            </c:numRef>
          </c:cat>
          <c:val>
            <c:numRef>
              <c:f>pers!$H$246:$M$246</c:f>
              <c:numCache>
                <c:formatCode>_-"€"\ * #,##0_-;_-"€"\ * #,##0\-;_-"€"\ * "-"_-;_-@_-</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62817056"/>
        <c:axId val="-62810528"/>
      </c:barChart>
      <c:catAx>
        <c:axId val="-6281705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2810528"/>
        <c:crosses val="autoZero"/>
        <c:auto val="1"/>
        <c:lblAlgn val="ctr"/>
        <c:lblOffset val="100"/>
        <c:tickLblSkip val="1"/>
        <c:tickMarkSkip val="1"/>
        <c:noMultiLvlLbl val="0"/>
      </c:catAx>
      <c:valAx>
        <c:axId val="-6281052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281705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8179871520342632"/>
          <c:y val="0.90909090909090906"/>
          <c:w val="0.23768736616702463"/>
          <c:h val="7.038123167155427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Overheidsbijdragen</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2027544048"/>
        <c:axId val="-2027537520"/>
      </c:barChart>
      <c:catAx>
        <c:axId val="-2027544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537520"/>
        <c:crosses val="autoZero"/>
        <c:auto val="1"/>
        <c:lblAlgn val="ctr"/>
        <c:lblOffset val="100"/>
        <c:tickLblSkip val="1"/>
        <c:tickMarkSkip val="1"/>
        <c:noMultiLvlLbl val="0"/>
      </c:catAx>
      <c:valAx>
        <c:axId val="-202753752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54404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Eigen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2481523.2999999998</c:v>
              </c:pt>
              <c:pt idx="2">
                <c:v>3696912.8000000017</c:v>
              </c:pt>
              <c:pt idx="3">
                <c:v>4891406.3000000026</c:v>
              </c:pt>
            </c:numLit>
          </c:val>
        </c:ser>
        <c:dLbls>
          <c:showLegendKey val="0"/>
          <c:showVal val="1"/>
          <c:showCatName val="0"/>
          <c:showSerName val="0"/>
          <c:showPercent val="0"/>
          <c:showBubbleSize val="0"/>
        </c:dLbls>
        <c:gapWidth val="150"/>
        <c:axId val="-2027536976"/>
        <c:axId val="-2027545136"/>
      </c:barChart>
      <c:catAx>
        <c:axId val="-202753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545136"/>
        <c:crosses val="autoZero"/>
        <c:auto val="1"/>
        <c:lblAlgn val="ctr"/>
        <c:lblOffset val="100"/>
        <c:tickLblSkip val="1"/>
        <c:tickMarkSkip val="1"/>
        <c:noMultiLvlLbl val="0"/>
      </c:catAx>
      <c:valAx>
        <c:axId val="-202754513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75369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per leerling</a:t>
            </a:r>
          </a:p>
        </c:rich>
      </c:tx>
      <c:layout>
        <c:manualLayout>
          <c:xMode val="edge"/>
          <c:yMode val="edge"/>
          <c:x val="0.30133968548049284"/>
          <c:y val="3.5502958579881658E-2"/>
        </c:manualLayout>
      </c:layout>
      <c:overlay val="0"/>
      <c:spPr>
        <a:noFill/>
        <a:ln w="25400">
          <a:noFill/>
        </a:ln>
      </c:spPr>
    </c:title>
    <c:autoTitleDeleted val="0"/>
    <c:plotArea>
      <c:layout>
        <c:manualLayout>
          <c:layoutTarget val="inner"/>
          <c:xMode val="edge"/>
          <c:yMode val="edge"/>
          <c:x val="0.1808037684890404"/>
          <c:y val="0.19822485207100593"/>
          <c:w val="0.78794728736581865"/>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begr!$G$8:$K$8</c:f>
              <c:numCache>
                <c:formatCode>General</c:formatCode>
                <c:ptCount val="5"/>
                <c:pt idx="0">
                  <c:v>2016</c:v>
                </c:pt>
                <c:pt idx="1">
                  <c:v>2017</c:v>
                </c:pt>
                <c:pt idx="2">
                  <c:v>2018</c:v>
                </c:pt>
                <c:pt idx="3">
                  <c:v>2019</c:v>
                </c:pt>
                <c:pt idx="4">
                  <c:v>2020</c:v>
                </c:pt>
              </c:numCache>
            </c:numRef>
          </c:cat>
          <c:val>
            <c:numRef>
              <c:f>ken!$F$16:$J$16</c:f>
              <c:numCache>
                <c:formatCode>_("€"* #,##0_);_("€"* \(#,##0\);_("€"*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7542416"/>
        <c:axId val="-2027539696"/>
      </c:barChart>
      <c:catAx>
        <c:axId val="-202754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39696"/>
        <c:crosses val="autoZero"/>
        <c:auto val="1"/>
        <c:lblAlgn val="ctr"/>
        <c:lblOffset val="100"/>
        <c:tickLblSkip val="1"/>
        <c:tickMarkSkip val="1"/>
        <c:noMultiLvlLbl val="0"/>
      </c:catAx>
      <c:valAx>
        <c:axId val="-202753969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4241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lasten per leerling
</a:t>
            </a:r>
          </a:p>
        </c:rich>
      </c:tx>
      <c:layout>
        <c:manualLayout>
          <c:xMode val="edge"/>
          <c:yMode val="edge"/>
          <c:x val="0.29596406218453658"/>
          <c:y val="3.5714285714285712E-2"/>
        </c:manualLayout>
      </c:layout>
      <c:overlay val="0"/>
      <c:spPr>
        <a:noFill/>
        <a:ln w="25400">
          <a:noFill/>
        </a:ln>
      </c:spPr>
    </c:title>
    <c:autoTitleDeleted val="0"/>
    <c:plotArea>
      <c:layout>
        <c:manualLayout>
          <c:layoutTarget val="inner"/>
          <c:xMode val="edge"/>
          <c:yMode val="edge"/>
          <c:x val="0.18161434977578494"/>
          <c:y val="0.2589293239900855"/>
          <c:w val="0.78699551569506765"/>
          <c:h val="0.60714462176985062"/>
        </c:manualLayout>
      </c:layout>
      <c:barChart>
        <c:barDir val="col"/>
        <c:grouping val="clustered"/>
        <c:varyColors val="0"/>
        <c:ser>
          <c:idx val="0"/>
          <c:order val="0"/>
          <c:spPr>
            <a:solidFill>
              <a:srgbClr val="FF0000"/>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ken!$F$22:$J$22</c:f>
              <c:numCache>
                <c:formatCode>_("€"* #,##0_);_("€"* \(#,##0\);_("€"*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7548400"/>
        <c:axId val="-2027535344"/>
      </c:barChart>
      <c:catAx>
        <c:axId val="-202754840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35344"/>
        <c:crosses val="autoZero"/>
        <c:auto val="1"/>
        <c:lblAlgn val="ctr"/>
        <c:lblOffset val="100"/>
        <c:tickLblSkip val="1"/>
        <c:tickMarkSkip val="1"/>
        <c:noMultiLvlLbl val="0"/>
      </c:catAx>
      <c:valAx>
        <c:axId val="-202753534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4840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Investeringen </a:t>
            </a:r>
          </a:p>
        </c:rich>
      </c:tx>
      <c:layout>
        <c:manualLayout>
          <c:xMode val="edge"/>
          <c:yMode val="edge"/>
          <c:x val="0.38702539024727473"/>
          <c:y val="3.5608308605341282E-2"/>
        </c:manualLayout>
      </c:layout>
      <c:overlay val="0"/>
      <c:spPr>
        <a:noFill/>
        <a:ln w="25400">
          <a:noFill/>
        </a:ln>
      </c:spPr>
    </c:title>
    <c:autoTitleDeleted val="0"/>
    <c:plotArea>
      <c:layout>
        <c:manualLayout>
          <c:layoutTarget val="inner"/>
          <c:xMode val="edge"/>
          <c:yMode val="edge"/>
          <c:x val="0.10961992628794019"/>
          <c:y val="0.19881334444162863"/>
          <c:w val="0.85906227948100067"/>
          <c:h val="0.6676567537218872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act!$G$25:$K$25</c:f>
              <c:numCache>
                <c:formatCode>_-"€"\ * #,##0_-;_-"€"\ * #,##0\-;_-"€"\ *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7534256"/>
        <c:axId val="-2027534800"/>
      </c:barChart>
      <c:catAx>
        <c:axId val="-202753425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34800"/>
        <c:crosses val="autoZero"/>
        <c:auto val="1"/>
        <c:lblAlgn val="ctr"/>
        <c:lblOffset val="100"/>
        <c:tickLblSkip val="1"/>
        <c:tickMarkSkip val="2"/>
        <c:noMultiLvlLbl val="0"/>
      </c:catAx>
      <c:valAx>
        <c:axId val="-2027534800"/>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3425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Kapitalisatiefactor</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848231558916046"/>
          <c:y val="0.19822485207100593"/>
          <c:w val="0.81026874026569939"/>
          <c:h val="0.66863905325444872"/>
        </c:manualLayout>
      </c:layout>
      <c:barChart>
        <c:barDir val="col"/>
        <c:grouping val="clustered"/>
        <c:varyColors val="0"/>
        <c:ser>
          <c:idx val="0"/>
          <c:order val="0"/>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bal!$J$68:$N$68</c:f>
              <c:numCache>
                <c:formatCode>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7547312"/>
        <c:axId val="-2027544592"/>
      </c:barChart>
      <c:catAx>
        <c:axId val="-2027547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44592"/>
        <c:crosses val="autoZero"/>
        <c:auto val="1"/>
        <c:lblAlgn val="ctr"/>
        <c:lblOffset val="100"/>
        <c:tickLblSkip val="1"/>
        <c:tickMarkSkip val="1"/>
        <c:noMultiLvlLbl val="0"/>
      </c:catAx>
      <c:valAx>
        <c:axId val="-2027544592"/>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754731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33" r="0.75000000000000433"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latin typeface="Arial" pitchFamily="34" charset="0"/>
                <a:cs typeface="Arial" pitchFamily="34" charset="0"/>
              </a:defRPr>
            </a:pPr>
            <a:r>
              <a:rPr lang="nl-NL" sz="1100" b="1">
                <a:latin typeface="Arial" pitchFamily="34" charset="0"/>
                <a:cs typeface="Arial" pitchFamily="34" charset="0"/>
              </a:rPr>
              <a:t>Loonkosten jaar (peildatum 1 okt.)</a:t>
            </a:r>
          </a:p>
        </c:rich>
      </c:tx>
      <c:overlay val="0"/>
    </c:title>
    <c:autoTitleDeleted val="0"/>
    <c:plotArea>
      <c:layout>
        <c:manualLayout>
          <c:layoutTarget val="inner"/>
          <c:xMode val="edge"/>
          <c:yMode val="edge"/>
          <c:x val="0.17163150693396972"/>
          <c:y val="0.1327593239553857"/>
          <c:w val="0.74824205054800463"/>
          <c:h val="0.67246772114851239"/>
        </c:manualLayout>
      </c:layout>
      <c:barChart>
        <c:barDir val="col"/>
        <c:grouping val="stacked"/>
        <c:varyColors val="0"/>
        <c:ser>
          <c:idx val="1"/>
          <c:order val="0"/>
          <c:tx>
            <c:strRef>
              <c:f>'sal SWV'!$E$323</c:f>
              <c:strCache>
                <c:ptCount val="1"/>
                <c:pt idx="0">
                  <c:v>bruto maandsalaris</c:v>
                </c:pt>
              </c:strCache>
            </c:strRef>
          </c:tx>
          <c:spPr>
            <a:solidFill>
              <a:schemeClr val="accent1"/>
            </a:solidFill>
          </c:spPr>
          <c:invertIfNegative val="0"/>
          <c:cat>
            <c:numRef>
              <c:f>'sal SWV'!$D$325:$D$330</c:f>
              <c:numCache>
                <c:formatCode>General</c:formatCode>
                <c:ptCount val="6"/>
                <c:pt idx="0">
                  <c:v>2015</c:v>
                </c:pt>
                <c:pt idx="1">
                  <c:v>2016</c:v>
                </c:pt>
                <c:pt idx="2">
                  <c:v>2017</c:v>
                </c:pt>
                <c:pt idx="3">
                  <c:v>2018</c:v>
                </c:pt>
                <c:pt idx="4">
                  <c:v>2019</c:v>
                </c:pt>
                <c:pt idx="5">
                  <c:v>2020</c:v>
                </c:pt>
              </c:numCache>
            </c:numRef>
          </c:cat>
          <c:val>
            <c:numRef>
              <c:f>'sal SWV'!$E$325:$E$330</c:f>
              <c:numCache>
                <c:formatCode>_-"€"\ * #,##0_-;_-"€"\ * #,##0\-;_-"€"\ * "-"??_-;_-@_-</c:formatCode>
                <c:ptCount val="6"/>
                <c:pt idx="0">
                  <c:v>0</c:v>
                </c:pt>
                <c:pt idx="1">
                  <c:v>0</c:v>
                </c:pt>
                <c:pt idx="2">
                  <c:v>0</c:v>
                </c:pt>
                <c:pt idx="3">
                  <c:v>0</c:v>
                </c:pt>
                <c:pt idx="4">
                  <c:v>0</c:v>
                </c:pt>
                <c:pt idx="5">
                  <c:v>0</c:v>
                </c:pt>
              </c:numCache>
            </c:numRef>
          </c:val>
        </c:ser>
        <c:ser>
          <c:idx val="2"/>
          <c:order val="1"/>
          <c:tx>
            <c:strRef>
              <c:f>'sal SWV'!$F$323</c:f>
              <c:strCache>
                <c:ptCount val="1"/>
                <c:pt idx="0">
                  <c:v>werkgeverslasten</c:v>
                </c:pt>
              </c:strCache>
            </c:strRef>
          </c:tx>
          <c:spPr>
            <a:solidFill>
              <a:schemeClr val="accent2"/>
            </a:solidFill>
          </c:spPr>
          <c:invertIfNegative val="0"/>
          <c:cat>
            <c:numRef>
              <c:f>'sal SWV'!$D$325:$D$330</c:f>
              <c:numCache>
                <c:formatCode>General</c:formatCode>
                <c:ptCount val="6"/>
                <c:pt idx="0">
                  <c:v>2015</c:v>
                </c:pt>
                <c:pt idx="1">
                  <c:v>2016</c:v>
                </c:pt>
                <c:pt idx="2">
                  <c:v>2017</c:v>
                </c:pt>
                <c:pt idx="3">
                  <c:v>2018</c:v>
                </c:pt>
                <c:pt idx="4">
                  <c:v>2019</c:v>
                </c:pt>
                <c:pt idx="5">
                  <c:v>2020</c:v>
                </c:pt>
              </c:numCache>
            </c:numRef>
          </c:cat>
          <c:val>
            <c:numRef>
              <c:f>'sal SWV'!$F$325:$F$330</c:f>
              <c:numCache>
                <c:formatCode>_-"€"\ * #,##0_-;_-"€"\ * #,##0\-;_-"€"\ * "-"??_-;_-@_-</c:formatCode>
                <c:ptCount val="6"/>
                <c:pt idx="0">
                  <c:v>0</c:v>
                </c:pt>
                <c:pt idx="1">
                  <c:v>0</c:v>
                </c:pt>
                <c:pt idx="2">
                  <c:v>0</c:v>
                </c:pt>
                <c:pt idx="3">
                  <c:v>0</c:v>
                </c:pt>
                <c:pt idx="4">
                  <c:v>0</c:v>
                </c:pt>
                <c:pt idx="5">
                  <c:v>0</c:v>
                </c:pt>
              </c:numCache>
            </c:numRef>
          </c:val>
        </c:ser>
        <c:ser>
          <c:idx val="3"/>
          <c:order val="2"/>
          <c:tx>
            <c:strRef>
              <c:f>'sal SWV'!$G$323</c:f>
              <c:strCache>
                <c:ptCount val="1"/>
                <c:pt idx="0">
                  <c:v>LFB-PB</c:v>
                </c:pt>
              </c:strCache>
            </c:strRef>
          </c:tx>
          <c:spPr>
            <a:solidFill>
              <a:schemeClr val="accent3"/>
            </a:solidFill>
          </c:spPr>
          <c:invertIfNegative val="0"/>
          <c:cat>
            <c:numRef>
              <c:f>'sal SWV'!$D$325:$D$330</c:f>
              <c:numCache>
                <c:formatCode>General</c:formatCode>
                <c:ptCount val="6"/>
                <c:pt idx="0">
                  <c:v>2015</c:v>
                </c:pt>
                <c:pt idx="1">
                  <c:v>2016</c:v>
                </c:pt>
                <c:pt idx="2">
                  <c:v>2017</c:v>
                </c:pt>
                <c:pt idx="3">
                  <c:v>2018</c:v>
                </c:pt>
                <c:pt idx="4">
                  <c:v>2019</c:v>
                </c:pt>
                <c:pt idx="5">
                  <c:v>2020</c:v>
                </c:pt>
              </c:numCache>
            </c:numRef>
          </c:cat>
          <c:val>
            <c:numRef>
              <c:f>'sal SWV'!$G$325:$G$330</c:f>
              <c:numCache>
                <c:formatCode>_-"€"\ * #,##0_-;_-"€"\ * #,##0\-;_-"€"\ * "-"??_-;_-@_-</c:formatCode>
                <c:ptCount val="6"/>
                <c:pt idx="0">
                  <c:v>0</c:v>
                </c:pt>
                <c:pt idx="1">
                  <c:v>0</c:v>
                </c:pt>
                <c:pt idx="2">
                  <c:v>0</c:v>
                </c:pt>
                <c:pt idx="3">
                  <c:v>0</c:v>
                </c:pt>
                <c:pt idx="4">
                  <c:v>0</c:v>
                </c:pt>
                <c:pt idx="5">
                  <c:v>0</c:v>
                </c:pt>
              </c:numCache>
            </c:numRef>
          </c:val>
        </c:ser>
        <c:ser>
          <c:idx val="4"/>
          <c:order val="3"/>
          <c:tx>
            <c:strRef>
              <c:f>'sal SWV'!$H$323</c:f>
              <c:strCache>
                <c:ptCount val="1"/>
                <c:pt idx="0">
                  <c:v>jubilea</c:v>
                </c:pt>
              </c:strCache>
            </c:strRef>
          </c:tx>
          <c:spPr>
            <a:solidFill>
              <a:schemeClr val="accent4"/>
            </a:solidFill>
          </c:spPr>
          <c:invertIfNegative val="0"/>
          <c:cat>
            <c:numRef>
              <c:f>'sal SWV'!$D$325:$D$330</c:f>
              <c:numCache>
                <c:formatCode>General</c:formatCode>
                <c:ptCount val="6"/>
                <c:pt idx="0">
                  <c:v>2015</c:v>
                </c:pt>
                <c:pt idx="1">
                  <c:v>2016</c:v>
                </c:pt>
                <c:pt idx="2">
                  <c:v>2017</c:v>
                </c:pt>
                <c:pt idx="3">
                  <c:v>2018</c:v>
                </c:pt>
                <c:pt idx="4">
                  <c:v>2019</c:v>
                </c:pt>
                <c:pt idx="5">
                  <c:v>2020</c:v>
                </c:pt>
              </c:numCache>
            </c:numRef>
          </c:cat>
          <c:val>
            <c:numRef>
              <c:f>'sal SWV'!$H$325:$H$330</c:f>
              <c:numCache>
                <c:formatCode>_-"€"\ * #,##0_-;_-"€"\ * #,##0\-;_-"€"\ * "-"??_-;_-@_-</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55"/>
        <c:overlap val="100"/>
        <c:axId val="-2027540240"/>
        <c:axId val="-2026412288"/>
      </c:barChart>
      <c:catAx>
        <c:axId val="-2027540240"/>
        <c:scaling>
          <c:orientation val="minMax"/>
        </c:scaling>
        <c:delete val="0"/>
        <c:axPos val="b"/>
        <c:numFmt formatCode="General" sourceLinked="1"/>
        <c:majorTickMark val="none"/>
        <c:minorTickMark val="none"/>
        <c:tickLblPos val="nextTo"/>
        <c:txPr>
          <a:bodyPr rot="0" vert="horz"/>
          <a:lstStyle/>
          <a:p>
            <a:pPr>
              <a:defRPr/>
            </a:pPr>
            <a:endParaRPr lang="nl-NL"/>
          </a:p>
        </c:txPr>
        <c:crossAx val="-2026412288"/>
        <c:crosses val="autoZero"/>
        <c:auto val="1"/>
        <c:lblAlgn val="ctr"/>
        <c:lblOffset val="100"/>
        <c:noMultiLvlLbl val="0"/>
      </c:catAx>
      <c:valAx>
        <c:axId val="-2026412288"/>
        <c:scaling>
          <c:orientation val="minMax"/>
        </c:scaling>
        <c:delete val="0"/>
        <c:axPos val="l"/>
        <c:majorGridlines/>
        <c:numFmt formatCode="_-&quot;€&quot;\ * #,##0_-;_-&quot;€&quot;\ * #,##0\-;_-&quot;€&quot;\ * &quot;-&quot;??_-;_-@_-" sourceLinked="1"/>
        <c:majorTickMark val="none"/>
        <c:minorTickMark val="none"/>
        <c:tickLblPos val="nextTo"/>
        <c:txPr>
          <a:bodyPr rot="0" vert="horz"/>
          <a:lstStyle/>
          <a:p>
            <a:pPr>
              <a:defRPr/>
            </a:pPr>
            <a:endParaRPr lang="nl-NL"/>
          </a:p>
        </c:txPr>
        <c:crossAx val="-2027540240"/>
        <c:crosses val="autoZero"/>
        <c:crossBetween val="between"/>
      </c:valAx>
    </c:plotArea>
    <c:legend>
      <c:legendPos val="r"/>
      <c:layout>
        <c:manualLayout>
          <c:xMode val="edge"/>
          <c:yMode val="edge"/>
          <c:x val="0.10483333195756782"/>
          <c:y val="0.89585231041061986"/>
          <c:w val="0.82529309940560236"/>
          <c:h val="7.0252262408056251E-2"/>
        </c:manualLayout>
      </c:layout>
      <c:overlay val="0"/>
      <c:spPr>
        <a:ln w="9525">
          <a:solidFill>
            <a:srgbClr val="000000"/>
          </a:solidFill>
        </a:ln>
      </c:spPr>
    </c:legend>
    <c:plotVisOnly val="1"/>
    <c:dispBlanksAs val="gap"/>
    <c:showDLblsOverMax val="0"/>
  </c:chart>
  <c:spPr>
    <a:ln w="9525">
      <a:solidFill>
        <a:srgbClr val="000000"/>
      </a:solidFill>
    </a:ln>
  </c:spPr>
  <c:printSettings>
    <c:headerFooter/>
    <c:pageMargins b="0.75" l="0.7" r="0.7" t="0.75" header="0.3" footer="0.3"/>
    <c:pageSetup paperSize="9" orientation="landscape"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2</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bal!$J$64:$N$64</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6411744"/>
        <c:axId val="-2026423168"/>
      </c:barChart>
      <c:catAx>
        <c:axId val="-202641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6423168"/>
        <c:crosses val="autoZero"/>
        <c:auto val="1"/>
        <c:lblAlgn val="ctr"/>
        <c:lblOffset val="100"/>
        <c:tickLblSkip val="1"/>
        <c:tickMarkSkip val="1"/>
        <c:noMultiLvlLbl val="0"/>
      </c:catAx>
      <c:valAx>
        <c:axId val="-2026423168"/>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641174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Materieel</a:t>
            </a:r>
          </a:p>
        </c:rich>
      </c:tx>
      <c:layout>
        <c:manualLayout>
          <c:xMode val="edge"/>
          <c:yMode val="edge"/>
          <c:x val="0.36017969332781069"/>
          <c:y val="3.5294117647058851E-2"/>
        </c:manualLayout>
      </c:layout>
      <c:overlay val="0"/>
      <c:spPr>
        <a:noFill/>
        <a:ln w="25400">
          <a:noFill/>
        </a:ln>
      </c:spPr>
    </c:title>
    <c:autoTitleDeleted val="0"/>
    <c:plotArea>
      <c:layout>
        <c:manualLayout>
          <c:layoutTarget val="inner"/>
          <c:xMode val="edge"/>
          <c:yMode val="edge"/>
          <c:x val="0.20581700445898976"/>
          <c:y val="0.19705910653019784"/>
          <c:w val="0.76286520130995161"/>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tab!$F$4:$J$4</c:f>
              <c:numCache>
                <c:formatCode>0</c:formatCode>
                <c:ptCount val="5"/>
                <c:pt idx="0">
                  <c:v>2016</c:v>
                </c:pt>
                <c:pt idx="1">
                  <c:v>2017</c:v>
                </c:pt>
                <c:pt idx="2">
                  <c:v>2018</c:v>
                </c:pt>
                <c:pt idx="3">
                  <c:v>2019</c:v>
                </c:pt>
                <c:pt idx="4">
                  <c:v>2020</c:v>
                </c:pt>
              </c:numCache>
            </c:numRef>
          </c:cat>
          <c:val>
            <c:numRef>
              <c:f>mat!$J$98:$N$98</c:f>
              <c:numCache>
                <c:formatCode>_-"€"\ * #,##0_-;_-"€"\ * #,##0\-;_-"€"\ * "-"_-;_-@_-</c:formatCode>
                <c:ptCount val="5"/>
                <c:pt idx="0">
                  <c:v>0</c:v>
                </c:pt>
                <c:pt idx="1">
                  <c:v>0</c:v>
                </c:pt>
                <c:pt idx="2">
                  <c:v>0</c:v>
                </c:pt>
                <c:pt idx="3">
                  <c:v>0</c:v>
                </c:pt>
                <c:pt idx="4">
                  <c:v>0</c:v>
                </c:pt>
              </c:numCache>
            </c:numRef>
          </c:val>
        </c:ser>
        <c:ser>
          <c:idx val="1"/>
          <c:order val="1"/>
          <c:tx>
            <c:v>lasten</c:v>
          </c:tx>
          <c:spPr>
            <a:solidFill>
              <a:srgbClr val="FFCC99"/>
            </a:solidFill>
            <a:ln w="12700">
              <a:solidFill>
                <a:srgbClr val="000000"/>
              </a:solidFill>
              <a:prstDash val="solid"/>
            </a:ln>
          </c:spPr>
          <c:invertIfNegative val="0"/>
          <c:cat>
            <c:numRef>
              <c:f>tab!$F$4:$J$4</c:f>
              <c:numCache>
                <c:formatCode>0</c:formatCode>
                <c:ptCount val="5"/>
                <c:pt idx="0">
                  <c:v>2016</c:v>
                </c:pt>
                <c:pt idx="1">
                  <c:v>2017</c:v>
                </c:pt>
                <c:pt idx="2">
                  <c:v>2018</c:v>
                </c:pt>
                <c:pt idx="3">
                  <c:v>2019</c:v>
                </c:pt>
                <c:pt idx="4">
                  <c:v>2020</c:v>
                </c:pt>
              </c:numCache>
            </c:numRef>
          </c:cat>
          <c:val>
            <c:numRef>
              <c:f>mat!$K$190:$O$190</c:f>
              <c:numCache>
                <c:formatCode>_-"€"\ * #,##0_-;_-"€"\ * #,##0\-;_-"€"\ * "-"_-;_-@_-</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2824672"/>
        <c:axId val="-62823584"/>
      </c:barChart>
      <c:catAx>
        <c:axId val="-6282467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2823584"/>
        <c:crosses val="autoZero"/>
        <c:auto val="1"/>
        <c:lblAlgn val="ctr"/>
        <c:lblOffset val="100"/>
        <c:tickLblSkip val="1"/>
        <c:tickMarkSkip val="1"/>
        <c:noMultiLvlLbl val="0"/>
      </c:catAx>
      <c:valAx>
        <c:axId val="-62823584"/>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282467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9684261599775836"/>
          <c:y val="0.90882483459449515"/>
          <c:w val="0.2357897160667312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 lasten</a:t>
            </a:r>
          </a:p>
        </c:rich>
      </c:tx>
      <c:layout>
        <c:manualLayout>
          <c:xMode val="edge"/>
          <c:yMode val="edge"/>
          <c:x val="0.33482183371146707"/>
          <c:y val="3.5294117647058851E-2"/>
        </c:manualLayout>
      </c:layout>
      <c:overlay val="0"/>
      <c:spPr>
        <a:noFill/>
        <a:ln w="25400">
          <a:noFill/>
        </a:ln>
      </c:spPr>
    </c:title>
    <c:autoTitleDeleted val="0"/>
    <c:plotArea>
      <c:layout>
        <c:manualLayout>
          <c:layoutTarget val="inner"/>
          <c:xMode val="edge"/>
          <c:yMode val="edge"/>
          <c:x val="0.22098238370882817"/>
          <c:y val="0.19705910653019784"/>
          <c:w val="0.74776867214603626"/>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tab!$E$4:$K$4</c:f>
              <c:numCache>
                <c:formatCode>0</c:formatCode>
                <c:ptCount val="7"/>
                <c:pt idx="0">
                  <c:v>2015</c:v>
                </c:pt>
                <c:pt idx="1">
                  <c:v>2016</c:v>
                </c:pt>
                <c:pt idx="2">
                  <c:v>2017</c:v>
                </c:pt>
                <c:pt idx="3">
                  <c:v>2018</c:v>
                </c:pt>
                <c:pt idx="4">
                  <c:v>2019</c:v>
                </c:pt>
                <c:pt idx="5">
                  <c:v>2020</c:v>
                </c:pt>
                <c:pt idx="6">
                  <c:v>2021</c:v>
                </c:pt>
              </c:numCache>
            </c:numRef>
          </c:cat>
          <c:val>
            <c:numRef>
              <c:f>begr!$F$19:$K$19</c:f>
              <c:numCache>
                <c:formatCode>_-"€"\ * #,##0_-;_-"€"\ * #,##0\-;_-"€"\ * "-"_-;_-@_-</c:formatCode>
                <c:ptCount val="6"/>
                <c:pt idx="0">
                  <c:v>0</c:v>
                </c:pt>
                <c:pt idx="1">
                  <c:v>0</c:v>
                </c:pt>
                <c:pt idx="2">
                  <c:v>0</c:v>
                </c:pt>
                <c:pt idx="3">
                  <c:v>0</c:v>
                </c:pt>
                <c:pt idx="4">
                  <c:v>0</c:v>
                </c:pt>
                <c:pt idx="5">
                  <c:v>0</c:v>
                </c:pt>
              </c:numCache>
            </c:numRef>
          </c:val>
        </c:ser>
        <c:ser>
          <c:idx val="1"/>
          <c:order val="1"/>
          <c:tx>
            <c:v>lasten</c:v>
          </c:tx>
          <c:spPr>
            <a:solidFill>
              <a:srgbClr val="FFCC99"/>
            </a:solidFill>
            <a:ln w="12700">
              <a:solidFill>
                <a:srgbClr val="000000"/>
              </a:solidFill>
              <a:prstDash val="solid"/>
            </a:ln>
          </c:spPr>
          <c:invertIfNegative val="0"/>
          <c:cat>
            <c:numRef>
              <c:f>tab!$E$4:$K$4</c:f>
              <c:numCache>
                <c:formatCode>0</c:formatCode>
                <c:ptCount val="7"/>
                <c:pt idx="0">
                  <c:v>2015</c:v>
                </c:pt>
                <c:pt idx="1">
                  <c:v>2016</c:v>
                </c:pt>
                <c:pt idx="2">
                  <c:v>2017</c:v>
                </c:pt>
                <c:pt idx="3">
                  <c:v>2018</c:v>
                </c:pt>
                <c:pt idx="4">
                  <c:v>2019</c:v>
                </c:pt>
                <c:pt idx="5">
                  <c:v>2020</c:v>
                </c:pt>
                <c:pt idx="6">
                  <c:v>2021</c:v>
                </c:pt>
              </c:numCache>
            </c:numRef>
          </c:cat>
          <c:val>
            <c:numRef>
              <c:f>begr!$F$25:$K$25</c:f>
              <c:numCache>
                <c:formatCode>_-"€"\ * #,##0_-;_-"€"\ * #,##0\-;_-"€"\ * "-"_-;_-@_-</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62820864"/>
        <c:axId val="-64555280"/>
      </c:barChart>
      <c:catAx>
        <c:axId val="-6282086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4555280"/>
        <c:crosses val="autoZero"/>
        <c:auto val="1"/>
        <c:lblAlgn val="ctr"/>
        <c:lblOffset val="100"/>
        <c:tickLblSkip val="1"/>
        <c:tickMarkSkip val="1"/>
        <c:noMultiLvlLbl val="0"/>
      </c:catAx>
      <c:valAx>
        <c:axId val="-64555280"/>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28208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788140546523838"/>
          <c:y val="0.90882483459449515"/>
          <c:w val="0.2351697348071450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Materiële vaste activa</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2028212416"/>
        <c:axId val="-2028207520"/>
      </c:barChart>
      <c:catAx>
        <c:axId val="-202821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8207520"/>
        <c:crosses val="autoZero"/>
        <c:auto val="1"/>
        <c:lblAlgn val="ctr"/>
        <c:lblOffset val="100"/>
        <c:tickLblSkip val="1"/>
        <c:tickMarkSkip val="1"/>
        <c:noMultiLvlLbl val="0"/>
      </c:catAx>
      <c:valAx>
        <c:axId val="-202820752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821241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oddHeader>&amp;L&amp;"Arial,Vet"&amp;F&amp;R&amp;"Arial,Vet"&amp;A</c:oddHeader>
      <c:oddFooter>&amp;L&amp;"Arial,Vet"keizer / goedhart&amp;C&amp;"Arial,Vet"&amp;D&amp;R&amp;"Arial,Vet"pagina &amp;P</c:oddFooter>
    </c:headerFooter>
    <c:pageMargins b="1" l="0.75000000000000411" r="0.75000000000000411"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Opbouw loonkosten peildatum 1 okt. </a:t>
            </a:r>
          </a:p>
        </c:rich>
      </c:tx>
      <c:overlay val="0"/>
      <c:spPr>
        <a:noFill/>
        <a:ln w="25400">
          <a:noFill/>
        </a:ln>
      </c:spPr>
    </c:title>
    <c:autoTitleDeleted val="0"/>
    <c:plotArea>
      <c:layout/>
      <c:barChart>
        <c:barDir val="col"/>
        <c:grouping val="percentStacked"/>
        <c:varyColors val="0"/>
        <c:ser>
          <c:idx val="0"/>
          <c:order val="0"/>
          <c:tx>
            <c:strRef>
              <c:f>'sal SWV'!$E$323</c:f>
              <c:strCache>
                <c:ptCount val="1"/>
                <c:pt idx="0">
                  <c:v>bruto maandsalaris</c:v>
                </c:pt>
              </c:strCache>
            </c:strRef>
          </c:tx>
          <c:invertIfNegative val="0"/>
          <c:cat>
            <c:numRef>
              <c:extLst>
                <c:ext xmlns:c15="http://schemas.microsoft.com/office/drawing/2012/chart" uri="{02D57815-91ED-43cb-92C2-25804820EDAC}">
                  <c15:fullRef>
                    <c15:sqref>'sal SWV'!$D$325:$D$330</c15:sqref>
                  </c15:fullRef>
                </c:ext>
              </c:extLst>
              <c:f>'sal SWV'!$D$326:$D$330</c:f>
              <c:numCache>
                <c:formatCode>General</c:formatCode>
                <c:ptCount val="5"/>
                <c:pt idx="0">
                  <c:v>2016</c:v>
                </c:pt>
                <c:pt idx="1">
                  <c:v>2017</c:v>
                </c:pt>
                <c:pt idx="2">
                  <c:v>2018</c:v>
                </c:pt>
                <c:pt idx="3">
                  <c:v>2019</c:v>
                </c:pt>
                <c:pt idx="4">
                  <c:v>2020</c:v>
                </c:pt>
              </c:numCache>
            </c:numRef>
          </c:cat>
          <c:val>
            <c:numRef>
              <c:extLst>
                <c:ext xmlns:c15="http://schemas.microsoft.com/office/drawing/2012/chart" uri="{02D57815-91ED-43cb-92C2-25804820EDAC}">
                  <c15:fullRef>
                    <c15:sqref>'sal SWV'!$E$325:$E$330</c15:sqref>
                  </c15:fullRef>
                </c:ext>
              </c:extLst>
              <c:f>'sal SWV'!$E$326:$E$330</c:f>
              <c:numCache>
                <c:formatCode>_-"€"\ * #,##0_-;_-"€"\ * #,##0\-;_-"€"\ * "-"??_-;_-@_-</c:formatCode>
                <c:ptCount val="5"/>
                <c:pt idx="0">
                  <c:v>0</c:v>
                </c:pt>
                <c:pt idx="1">
                  <c:v>0</c:v>
                </c:pt>
                <c:pt idx="2">
                  <c:v>0</c:v>
                </c:pt>
                <c:pt idx="3">
                  <c:v>0</c:v>
                </c:pt>
                <c:pt idx="4">
                  <c:v>0</c:v>
                </c:pt>
              </c:numCache>
            </c:numRef>
          </c:val>
        </c:ser>
        <c:ser>
          <c:idx val="1"/>
          <c:order val="1"/>
          <c:tx>
            <c:strRef>
              <c:f>'sal SWV'!$F$323</c:f>
              <c:strCache>
                <c:ptCount val="1"/>
                <c:pt idx="0">
                  <c:v>werkgeverslasten</c:v>
                </c:pt>
              </c:strCache>
            </c:strRef>
          </c:tx>
          <c:invertIfNegative val="0"/>
          <c:cat>
            <c:numRef>
              <c:extLst>
                <c:ext xmlns:c15="http://schemas.microsoft.com/office/drawing/2012/chart" uri="{02D57815-91ED-43cb-92C2-25804820EDAC}">
                  <c15:fullRef>
                    <c15:sqref>'sal SWV'!$D$325:$D$330</c15:sqref>
                  </c15:fullRef>
                </c:ext>
              </c:extLst>
              <c:f>'sal SWV'!$D$326:$D$330</c:f>
              <c:numCache>
                <c:formatCode>General</c:formatCode>
                <c:ptCount val="5"/>
                <c:pt idx="0">
                  <c:v>2016</c:v>
                </c:pt>
                <c:pt idx="1">
                  <c:v>2017</c:v>
                </c:pt>
                <c:pt idx="2">
                  <c:v>2018</c:v>
                </c:pt>
                <c:pt idx="3">
                  <c:v>2019</c:v>
                </c:pt>
                <c:pt idx="4">
                  <c:v>2020</c:v>
                </c:pt>
              </c:numCache>
            </c:numRef>
          </c:cat>
          <c:val>
            <c:numRef>
              <c:extLst>
                <c:ext xmlns:c15="http://schemas.microsoft.com/office/drawing/2012/chart" uri="{02D57815-91ED-43cb-92C2-25804820EDAC}">
                  <c15:fullRef>
                    <c15:sqref>'sal SWV'!$F$325:$F$330</c15:sqref>
                  </c15:fullRef>
                </c:ext>
              </c:extLst>
              <c:f>'sal SWV'!$F$326:$F$330</c:f>
              <c:numCache>
                <c:formatCode>_-"€"\ * #,##0_-;_-"€"\ * #,##0\-;_-"€"\ * "-"??_-;_-@_-</c:formatCode>
                <c:ptCount val="5"/>
                <c:pt idx="0">
                  <c:v>0</c:v>
                </c:pt>
                <c:pt idx="1">
                  <c:v>0</c:v>
                </c:pt>
                <c:pt idx="2">
                  <c:v>0</c:v>
                </c:pt>
                <c:pt idx="3">
                  <c:v>0</c:v>
                </c:pt>
                <c:pt idx="4">
                  <c:v>0</c:v>
                </c:pt>
              </c:numCache>
            </c:numRef>
          </c:val>
        </c:ser>
        <c:ser>
          <c:idx val="2"/>
          <c:order val="2"/>
          <c:tx>
            <c:strRef>
              <c:f>'sal SWV'!$G$323</c:f>
              <c:strCache>
                <c:ptCount val="1"/>
                <c:pt idx="0">
                  <c:v>LFB-PB</c:v>
                </c:pt>
              </c:strCache>
            </c:strRef>
          </c:tx>
          <c:invertIfNegative val="0"/>
          <c:cat>
            <c:numRef>
              <c:extLst>
                <c:ext xmlns:c15="http://schemas.microsoft.com/office/drawing/2012/chart" uri="{02D57815-91ED-43cb-92C2-25804820EDAC}">
                  <c15:fullRef>
                    <c15:sqref>'sal SWV'!$D$325:$D$330</c15:sqref>
                  </c15:fullRef>
                </c:ext>
              </c:extLst>
              <c:f>'sal SWV'!$D$326:$D$330</c:f>
              <c:numCache>
                <c:formatCode>General</c:formatCode>
                <c:ptCount val="5"/>
                <c:pt idx="0">
                  <c:v>2016</c:v>
                </c:pt>
                <c:pt idx="1">
                  <c:v>2017</c:v>
                </c:pt>
                <c:pt idx="2">
                  <c:v>2018</c:v>
                </c:pt>
                <c:pt idx="3">
                  <c:v>2019</c:v>
                </c:pt>
                <c:pt idx="4">
                  <c:v>2020</c:v>
                </c:pt>
              </c:numCache>
            </c:numRef>
          </c:cat>
          <c:val>
            <c:numRef>
              <c:extLst>
                <c:ext xmlns:c15="http://schemas.microsoft.com/office/drawing/2012/chart" uri="{02D57815-91ED-43cb-92C2-25804820EDAC}">
                  <c15:fullRef>
                    <c15:sqref>'sal SWV'!$G$325:$G$330</c15:sqref>
                  </c15:fullRef>
                </c:ext>
              </c:extLst>
              <c:f>'sal SWV'!$G$326:$G$330</c:f>
              <c:numCache>
                <c:formatCode>_-"€"\ * #,##0_-;_-"€"\ * #,##0\-;_-"€"\ * "-"??_-;_-@_-</c:formatCode>
                <c:ptCount val="5"/>
                <c:pt idx="0">
                  <c:v>0</c:v>
                </c:pt>
                <c:pt idx="1">
                  <c:v>0</c:v>
                </c:pt>
                <c:pt idx="2">
                  <c:v>0</c:v>
                </c:pt>
                <c:pt idx="3">
                  <c:v>0</c:v>
                </c:pt>
                <c:pt idx="4">
                  <c:v>0</c:v>
                </c:pt>
              </c:numCache>
            </c:numRef>
          </c:val>
        </c:ser>
        <c:ser>
          <c:idx val="3"/>
          <c:order val="3"/>
          <c:tx>
            <c:strRef>
              <c:f>'sal SWV'!$H$323</c:f>
              <c:strCache>
                <c:ptCount val="1"/>
                <c:pt idx="0">
                  <c:v>jubilea</c:v>
                </c:pt>
              </c:strCache>
            </c:strRef>
          </c:tx>
          <c:invertIfNegative val="0"/>
          <c:cat>
            <c:numRef>
              <c:extLst>
                <c:ext xmlns:c15="http://schemas.microsoft.com/office/drawing/2012/chart" uri="{02D57815-91ED-43cb-92C2-25804820EDAC}">
                  <c15:fullRef>
                    <c15:sqref>'sal SWV'!$D$325:$D$330</c15:sqref>
                  </c15:fullRef>
                </c:ext>
              </c:extLst>
              <c:f>'sal SWV'!$D$326:$D$330</c:f>
              <c:numCache>
                <c:formatCode>General</c:formatCode>
                <c:ptCount val="5"/>
                <c:pt idx="0">
                  <c:v>2016</c:v>
                </c:pt>
                <c:pt idx="1">
                  <c:v>2017</c:v>
                </c:pt>
                <c:pt idx="2">
                  <c:v>2018</c:v>
                </c:pt>
                <c:pt idx="3">
                  <c:v>2019</c:v>
                </c:pt>
                <c:pt idx="4">
                  <c:v>2020</c:v>
                </c:pt>
              </c:numCache>
            </c:numRef>
          </c:cat>
          <c:val>
            <c:numRef>
              <c:extLst>
                <c:ext xmlns:c15="http://schemas.microsoft.com/office/drawing/2012/chart" uri="{02D57815-91ED-43cb-92C2-25804820EDAC}">
                  <c15:fullRef>
                    <c15:sqref>'sal SWV'!$H$325:$H$330</c15:sqref>
                  </c15:fullRef>
                </c:ext>
              </c:extLst>
              <c:f>'sal SWV'!$H$326:$H$330</c:f>
              <c:numCache>
                <c:formatCode>_-"€"\ * #,##0_-;_-"€"\ * #,##0\-;_-"€"\ * "-"??_-;_-@_-</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75"/>
        <c:overlap val="100"/>
        <c:axId val="-2028201536"/>
        <c:axId val="-2028205888"/>
      </c:barChart>
      <c:catAx>
        <c:axId val="-20282015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05888"/>
        <c:crosses val="autoZero"/>
        <c:auto val="1"/>
        <c:lblAlgn val="ctr"/>
        <c:lblOffset val="100"/>
        <c:tickLblSkip val="1"/>
        <c:tickMarkSkip val="1"/>
        <c:noMultiLvlLbl val="0"/>
      </c:catAx>
      <c:valAx>
        <c:axId val="-2028205888"/>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nl-NL"/>
          </a:p>
        </c:txPr>
        <c:crossAx val="-2028201536"/>
        <c:crosses val="autoZero"/>
        <c:crossBetween val="between"/>
        <c:majorUnit val="0.2"/>
      </c:valAx>
      <c:spPr>
        <a:gradFill rotWithShape="0">
          <a:gsLst>
            <a:gs pos="0">
              <a:srgbClr val="FFFFFF"/>
            </a:gs>
            <a:gs pos="100000">
              <a:srgbClr val="C0C0C0"/>
            </a:gs>
          </a:gsLst>
          <a:lin ang="5400000" scaled="1"/>
        </a:gra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Vreemd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ser>
        <c:dLbls>
          <c:showLegendKey val="0"/>
          <c:showVal val="1"/>
          <c:showCatName val="0"/>
          <c:showSerName val="0"/>
          <c:showPercent val="0"/>
          <c:showBubbleSize val="0"/>
        </c:dLbls>
        <c:gapWidth val="150"/>
        <c:axId val="-2028210784"/>
        <c:axId val="-2028208608"/>
      </c:barChart>
      <c:catAx>
        <c:axId val="-2028210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8208608"/>
        <c:crosses val="autoZero"/>
        <c:auto val="1"/>
        <c:lblAlgn val="ctr"/>
        <c:lblOffset val="100"/>
        <c:tickLblSkip val="1"/>
        <c:tickMarkSkip val="1"/>
        <c:noMultiLvlLbl val="0"/>
      </c:catAx>
      <c:valAx>
        <c:axId val="-20282086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202821078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1</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bal!$J$63:$N$63</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8216224"/>
        <c:axId val="-2028210240"/>
      </c:barChart>
      <c:catAx>
        <c:axId val="-2028216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10240"/>
        <c:crosses val="autoZero"/>
        <c:auto val="1"/>
        <c:lblAlgn val="ctr"/>
        <c:lblOffset val="100"/>
        <c:tickLblSkip val="1"/>
        <c:tickMarkSkip val="1"/>
        <c:noMultiLvlLbl val="0"/>
      </c:catAx>
      <c:valAx>
        <c:axId val="-2028210240"/>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1622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Liquiditeit</a:t>
            </a:r>
          </a:p>
        </c:rich>
      </c:tx>
      <c:layout>
        <c:manualLayout>
          <c:xMode val="edge"/>
          <c:yMode val="edge"/>
          <c:x val="0.41741110386679381"/>
          <c:y val="3.5398230088495596E-2"/>
        </c:manualLayout>
      </c:layout>
      <c:overlay val="0"/>
      <c:spPr>
        <a:noFill/>
        <a:ln w="25400">
          <a:noFill/>
        </a:ln>
      </c:spPr>
    </c:title>
    <c:autoTitleDeleted val="0"/>
    <c:plotArea>
      <c:layout>
        <c:manualLayout>
          <c:layoutTarget val="inner"/>
          <c:xMode val="edge"/>
          <c:yMode val="edge"/>
          <c:x val="0.10044653804946685"/>
          <c:y val="0.19764068734065987"/>
          <c:w val="0.86830451780539164"/>
          <c:h val="0.66961844815418536"/>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bal!$J$65:$N$65</c:f>
              <c:numCache>
                <c:formatCode>0.00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2028215680"/>
        <c:axId val="-2028206976"/>
      </c:barChart>
      <c:catAx>
        <c:axId val="-2028215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06976"/>
        <c:crosses val="autoZero"/>
        <c:auto val="1"/>
        <c:lblAlgn val="ctr"/>
        <c:lblOffset val="100"/>
        <c:tickLblSkip val="1"/>
        <c:tickMarkSkip val="1"/>
        <c:noMultiLvlLbl val="0"/>
      </c:catAx>
      <c:valAx>
        <c:axId val="-2028206976"/>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02821568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2.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6.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97490</xdr:colOff>
      <xdr:row>2</xdr:row>
      <xdr:rowOff>21851</xdr:rowOff>
    </xdr:from>
    <xdr:to>
      <xdr:col>14</xdr:col>
      <xdr:colOff>458684</xdr:colOff>
      <xdr:row>6</xdr:row>
      <xdr:rowOff>106922</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6926915" y="345701"/>
          <a:ext cx="1580394" cy="7708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168089</xdr:colOff>
      <xdr:row>2</xdr:row>
      <xdr:rowOff>11206</xdr:rowOff>
    </xdr:from>
    <xdr:to>
      <xdr:col>15</xdr:col>
      <xdr:colOff>36224</xdr:colOff>
      <xdr:row>5</xdr:row>
      <xdr:rowOff>136058</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53501" y="324971"/>
          <a:ext cx="1571429" cy="752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437030</xdr:colOff>
      <xdr:row>2</xdr:row>
      <xdr:rowOff>11205</xdr:rowOff>
    </xdr:from>
    <xdr:to>
      <xdr:col>14</xdr:col>
      <xdr:colOff>36223</xdr:colOff>
      <xdr:row>5</xdr:row>
      <xdr:rowOff>136057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838765" y="324970"/>
          <a:ext cx="1571429" cy="7523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101785</xdr:colOff>
      <xdr:row>2</xdr:row>
      <xdr:rowOff>11206</xdr:rowOff>
    </xdr:from>
    <xdr:to>
      <xdr:col>24</xdr:col>
      <xdr:colOff>238861</xdr:colOff>
      <xdr:row>6</xdr:row>
      <xdr:rowOff>1587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4532160" y="328706"/>
          <a:ext cx="1565826" cy="7523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694766</xdr:colOff>
      <xdr:row>2</xdr:row>
      <xdr:rowOff>33617</xdr:rowOff>
    </xdr:from>
    <xdr:to>
      <xdr:col>14</xdr:col>
      <xdr:colOff>159489</xdr:colOff>
      <xdr:row>6</xdr:row>
      <xdr:rowOff>23998</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1060207" y="347382"/>
          <a:ext cx="1571429" cy="7523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600914</xdr:colOff>
      <xdr:row>2</xdr:row>
      <xdr:rowOff>130268</xdr:rowOff>
    </xdr:from>
    <xdr:to>
      <xdr:col>10</xdr:col>
      <xdr:colOff>1050354</xdr:colOff>
      <xdr:row>6</xdr:row>
      <xdr:rowOff>88433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11477" y="463643"/>
          <a:ext cx="1568627" cy="767790"/>
        </a:xfrm>
        <a:prstGeom prst="rect">
          <a:avLst/>
        </a:prstGeom>
      </xdr:spPr>
    </xdr:pic>
    <xdr:clientData/>
  </xdr:twoCellAnchor>
  <xdr:twoCellAnchor editAs="oneCell">
    <xdr:from>
      <xdr:col>9</xdr:col>
      <xdr:colOff>589008</xdr:colOff>
      <xdr:row>46</xdr:row>
      <xdr:rowOff>58832</xdr:rowOff>
    </xdr:from>
    <xdr:to>
      <xdr:col>10</xdr:col>
      <xdr:colOff>1038448</xdr:colOff>
      <xdr:row>50</xdr:row>
      <xdr:rowOff>11907</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8899571" y="7702645"/>
          <a:ext cx="1568627" cy="762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661147</xdr:colOff>
      <xdr:row>1</xdr:row>
      <xdr:rowOff>123265</xdr:rowOff>
    </xdr:from>
    <xdr:to>
      <xdr:col>14</xdr:col>
      <xdr:colOff>13813</xdr:colOff>
      <xdr:row>5</xdr:row>
      <xdr:rowOff>91234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0085294" y="280147"/>
          <a:ext cx="1571429" cy="752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683559</xdr:colOff>
      <xdr:row>1</xdr:row>
      <xdr:rowOff>89648</xdr:rowOff>
    </xdr:from>
    <xdr:to>
      <xdr:col>11</xdr:col>
      <xdr:colOff>13812</xdr:colOff>
      <xdr:row>5</xdr:row>
      <xdr:rowOff>57617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98324" y="246530"/>
          <a:ext cx="1571429" cy="75238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392205</xdr:colOff>
      <xdr:row>2</xdr:row>
      <xdr:rowOff>22411</xdr:rowOff>
    </xdr:from>
    <xdr:to>
      <xdr:col>9</xdr:col>
      <xdr:colOff>977517</xdr:colOff>
      <xdr:row>5</xdr:row>
      <xdr:rowOff>147263</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155205" y="336176"/>
          <a:ext cx="1571429" cy="75238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119</xdr:row>
      <xdr:rowOff>0</xdr:rowOff>
    </xdr:from>
    <xdr:to>
      <xdr:col>17</xdr:col>
      <xdr:colOff>9525</xdr:colOff>
      <xdr:row>119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156882</xdr:colOff>
      <xdr:row>6</xdr:row>
      <xdr:rowOff>143996</xdr:rowOff>
    </xdr:from>
    <xdr:to>
      <xdr:col>16</xdr:col>
      <xdr:colOff>539563</xdr:colOff>
      <xdr:row>26</xdr:row>
      <xdr:rowOff>153520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132790</xdr:colOff>
      <xdr:row>50</xdr:row>
      <xdr:rowOff>110379</xdr:rowOff>
    </xdr:from>
    <xdr:to>
      <xdr:col>8</xdr:col>
      <xdr:colOff>593911</xdr:colOff>
      <xdr:row>70</xdr:row>
      <xdr:rowOff>110379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161925</xdr:colOff>
      <xdr:row>6</xdr:row>
      <xdr:rowOff>142875</xdr:rowOff>
    </xdr:from>
    <xdr:to>
      <xdr:col>8</xdr:col>
      <xdr:colOff>590550</xdr:colOff>
      <xdr:row>26</xdr:row>
      <xdr:rowOff>142875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142876</xdr:colOff>
      <xdr:row>28</xdr:row>
      <xdr:rowOff>73959</xdr:rowOff>
    </xdr:from>
    <xdr:to>
      <xdr:col>8</xdr:col>
      <xdr:colOff>609600</xdr:colOff>
      <xdr:row>48</xdr:row>
      <xdr:rowOff>73960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119</xdr:row>
      <xdr:rowOff>0</xdr:rowOff>
    </xdr:from>
    <xdr:to>
      <xdr:col>16</xdr:col>
      <xdr:colOff>600075</xdr:colOff>
      <xdr:row>119</xdr:row>
      <xdr:rowOff>0</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119</xdr:row>
      <xdr:rowOff>0</xdr:rowOff>
    </xdr:from>
    <xdr:to>
      <xdr:col>9</xdr:col>
      <xdr:colOff>0</xdr:colOff>
      <xdr:row>139</xdr:row>
      <xdr:rowOff>0</xdr:rowOff>
    </xdr:to>
    <xdr:graphicFrame macro="">
      <xdr:nvGraphicFramePr>
        <xdr:cNvPr id="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22410</xdr:colOff>
      <xdr:row>141</xdr:row>
      <xdr:rowOff>33618</xdr:rowOff>
    </xdr:from>
    <xdr:to>
      <xdr:col>8</xdr:col>
      <xdr:colOff>622485</xdr:colOff>
      <xdr:row>161</xdr:row>
      <xdr:rowOff>29136</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156883</xdr:colOff>
      <xdr:row>141</xdr:row>
      <xdr:rowOff>22413</xdr:rowOff>
    </xdr:from>
    <xdr:to>
      <xdr:col>16</xdr:col>
      <xdr:colOff>568139</xdr:colOff>
      <xdr:row>161</xdr:row>
      <xdr:rowOff>31938</xdr:rowOff>
    </xdr:to>
    <xdr:graphicFrame macro="">
      <xdr:nvGraphicFramePr>
        <xdr:cNvPr id="1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168088</xdr:colOff>
      <xdr:row>163</xdr:row>
      <xdr:rowOff>11205</xdr:rowOff>
    </xdr:from>
    <xdr:to>
      <xdr:col>16</xdr:col>
      <xdr:colOff>588869</xdr:colOff>
      <xdr:row>182</xdr:row>
      <xdr:rowOff>154080</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95</xdr:row>
      <xdr:rowOff>0</xdr:rowOff>
    </xdr:from>
    <xdr:to>
      <xdr:col>9</xdr:col>
      <xdr:colOff>0</xdr:colOff>
      <xdr:row>95</xdr:row>
      <xdr:rowOff>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1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171450</xdr:colOff>
      <xdr:row>119</xdr:row>
      <xdr:rowOff>0</xdr:rowOff>
    </xdr:from>
    <xdr:to>
      <xdr:col>9</xdr:col>
      <xdr:colOff>0</xdr:colOff>
      <xdr:row>119</xdr:row>
      <xdr:rowOff>0</xdr:rowOff>
    </xdr:to>
    <xdr:graphicFrame macro="">
      <xdr:nvGraphicFramePr>
        <xdr:cNvPr id="17"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9525</xdr:colOff>
      <xdr:row>97</xdr:row>
      <xdr:rowOff>9525</xdr:rowOff>
    </xdr:from>
    <xdr:to>
      <xdr:col>17</xdr:col>
      <xdr:colOff>9525</xdr:colOff>
      <xdr:row>116</xdr:row>
      <xdr:rowOff>152400</xdr:rowOff>
    </xdr:to>
    <xdr:graphicFrame macro="">
      <xdr:nvGraphicFramePr>
        <xdr:cNvPr id="19"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118782</xdr:colOff>
      <xdr:row>50</xdr:row>
      <xdr:rowOff>104775</xdr:rowOff>
    </xdr:from>
    <xdr:to>
      <xdr:col>16</xdr:col>
      <xdr:colOff>585508</xdr:colOff>
      <xdr:row>70</xdr:row>
      <xdr:rowOff>104775</xdr:rowOff>
    </xdr:to>
    <xdr:graphicFrame macro="">
      <xdr:nvGraphicFramePr>
        <xdr:cNvPr id="2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9525</xdr:colOff>
      <xdr:row>95</xdr:row>
      <xdr:rowOff>0</xdr:rowOff>
    </xdr:from>
    <xdr:to>
      <xdr:col>17</xdr:col>
      <xdr:colOff>9525</xdr:colOff>
      <xdr:row>95</xdr:row>
      <xdr:rowOff>0</xdr:rowOff>
    </xdr:to>
    <xdr:graphicFrame macro="">
      <xdr:nvGraphicFramePr>
        <xdr:cNvPr id="22"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152400</xdr:colOff>
      <xdr:row>119</xdr:row>
      <xdr:rowOff>0</xdr:rowOff>
    </xdr:from>
    <xdr:to>
      <xdr:col>8</xdr:col>
      <xdr:colOff>581025</xdr:colOff>
      <xdr:row>119</xdr:row>
      <xdr:rowOff>0</xdr:rowOff>
    </xdr:to>
    <xdr:graphicFrame macro="">
      <xdr:nvGraphicFramePr>
        <xdr:cNvPr id="2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9525</xdr:colOff>
      <xdr:row>72</xdr:row>
      <xdr:rowOff>133350</xdr:rowOff>
    </xdr:from>
    <xdr:to>
      <xdr:col>9</xdr:col>
      <xdr:colOff>9525</xdr:colOff>
      <xdr:row>92</xdr:row>
      <xdr:rowOff>114300</xdr:rowOff>
    </xdr:to>
    <xdr:graphicFrame macro="">
      <xdr:nvGraphicFramePr>
        <xdr:cNvPr id="24"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0</xdr:colOff>
      <xdr:row>72</xdr:row>
      <xdr:rowOff>123825</xdr:rowOff>
    </xdr:from>
    <xdr:to>
      <xdr:col>16</xdr:col>
      <xdr:colOff>571500</xdr:colOff>
      <xdr:row>92</xdr:row>
      <xdr:rowOff>85725</xdr:rowOff>
    </xdr:to>
    <xdr:graphicFrame macro="">
      <xdr:nvGraphicFramePr>
        <xdr:cNvPr id="25"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19050</xdr:colOff>
      <xdr:row>97</xdr:row>
      <xdr:rowOff>19050</xdr:rowOff>
    </xdr:from>
    <xdr:to>
      <xdr:col>9</xdr:col>
      <xdr:colOff>9525</xdr:colOff>
      <xdr:row>116</xdr:row>
      <xdr:rowOff>152400</xdr:rowOff>
    </xdr:to>
    <xdr:graphicFrame macro="">
      <xdr:nvGraphicFramePr>
        <xdr:cNvPr id="26"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485775</xdr:colOff>
      <xdr:row>72</xdr:row>
      <xdr:rowOff>0</xdr:rowOff>
    </xdr:from>
    <xdr:to>
      <xdr:col>17</xdr:col>
      <xdr:colOff>161925</xdr:colOff>
      <xdr:row>72</xdr:row>
      <xdr:rowOff>0</xdr:rowOff>
    </xdr:to>
    <xdr:pic>
      <xdr:nvPicPr>
        <xdr:cNvPr id="27" name="Picture 29" descr="vosabblogo"/>
        <xdr:cNvPicPr>
          <a:picLocks noChangeAspect="1" noChangeArrowheads="1"/>
        </xdr:cNvPicPr>
      </xdr:nvPicPr>
      <xdr:blipFill>
        <a:blip xmlns:r="http://schemas.openxmlformats.org/officeDocument/2006/relationships" r:embed="rId25"/>
        <a:srcRect/>
        <a:stretch>
          <a:fillRect/>
        </a:stretch>
      </xdr:blipFill>
      <xdr:spPr bwMode="auto">
        <a:xfrm>
          <a:off x="8220075" y="11811000"/>
          <a:ext cx="1619250" cy="0"/>
        </a:xfrm>
        <a:prstGeom prst="rect">
          <a:avLst/>
        </a:prstGeom>
        <a:noFill/>
        <a:ln w="9525">
          <a:noFill/>
          <a:miter lim="800000"/>
          <a:headEnd/>
          <a:tailEnd/>
        </a:ln>
      </xdr:spPr>
    </xdr:pic>
    <xdr:clientData/>
  </xdr:twoCellAnchor>
  <xdr:twoCellAnchor>
    <xdr:from>
      <xdr:col>14</xdr:col>
      <xdr:colOff>485775</xdr:colOff>
      <xdr:row>119</xdr:row>
      <xdr:rowOff>0</xdr:rowOff>
    </xdr:from>
    <xdr:to>
      <xdr:col>17</xdr:col>
      <xdr:colOff>161925</xdr:colOff>
      <xdr:row>119</xdr:row>
      <xdr:rowOff>0</xdr:rowOff>
    </xdr:to>
    <xdr:pic>
      <xdr:nvPicPr>
        <xdr:cNvPr id="28" name="Picture 31" descr="vosabblogo"/>
        <xdr:cNvPicPr>
          <a:picLocks noChangeAspect="1" noChangeArrowheads="1"/>
        </xdr:cNvPicPr>
      </xdr:nvPicPr>
      <xdr:blipFill>
        <a:blip xmlns:r="http://schemas.openxmlformats.org/officeDocument/2006/relationships" r:embed="rId25"/>
        <a:srcRect/>
        <a:stretch>
          <a:fillRect/>
        </a:stretch>
      </xdr:blipFill>
      <xdr:spPr bwMode="auto">
        <a:xfrm>
          <a:off x="8220075" y="19450050"/>
          <a:ext cx="1619250" cy="0"/>
        </a:xfrm>
        <a:prstGeom prst="rect">
          <a:avLst/>
        </a:prstGeom>
        <a:noFill/>
        <a:ln w="9525">
          <a:noFill/>
          <a:miter lim="800000"/>
          <a:headEnd/>
          <a:tailEnd/>
        </a:ln>
      </xdr:spPr>
    </xdr:pic>
    <xdr:clientData/>
  </xdr:twoCellAnchor>
  <xdr:twoCellAnchor>
    <xdr:from>
      <xdr:col>2</xdr:col>
      <xdr:colOff>0</xdr:colOff>
      <xdr:row>163</xdr:row>
      <xdr:rowOff>0</xdr:rowOff>
    </xdr:from>
    <xdr:to>
      <xdr:col>8</xdr:col>
      <xdr:colOff>600075</xdr:colOff>
      <xdr:row>182</xdr:row>
      <xdr:rowOff>142875</xdr:rowOff>
    </xdr:to>
    <xdr:graphicFrame macro="">
      <xdr:nvGraphicFramePr>
        <xdr:cNvPr id="2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14</xdr:col>
      <xdr:colOff>392206</xdr:colOff>
      <xdr:row>1</xdr:row>
      <xdr:rowOff>89647</xdr:rowOff>
    </xdr:from>
    <xdr:to>
      <xdr:col>17</xdr:col>
      <xdr:colOff>13812</xdr:colOff>
      <xdr:row>5</xdr:row>
      <xdr:rowOff>57616</xdr:rowOff>
    </xdr:to>
    <xdr:pic>
      <xdr:nvPicPr>
        <xdr:cNvPr id="31" name="Afbeelding 30"/>
        <xdr:cNvPicPr>
          <a:picLocks noChangeAspect="1"/>
        </xdr:cNvPicPr>
      </xdr:nvPicPr>
      <xdr:blipFill>
        <a:blip xmlns:r="http://schemas.openxmlformats.org/officeDocument/2006/relationships" r:embed="rId27"/>
        <a:stretch>
          <a:fillRect/>
        </a:stretch>
      </xdr:blipFill>
      <xdr:spPr>
        <a:xfrm>
          <a:off x="8146677" y="246529"/>
          <a:ext cx="1571429" cy="752381"/>
        </a:xfrm>
        <a:prstGeom prst="rect">
          <a:avLst/>
        </a:prstGeom>
      </xdr:spPr>
    </xdr:pic>
    <xdr:clientData/>
  </xdr:twoCellAnchor>
  <xdr:twoCellAnchor>
    <xdr:from>
      <xdr:col>9</xdr:col>
      <xdr:colOff>123265</xdr:colOff>
      <xdr:row>28</xdr:row>
      <xdr:rowOff>100852</xdr:rowOff>
    </xdr:from>
    <xdr:to>
      <xdr:col>16</xdr:col>
      <xdr:colOff>526677</xdr:colOff>
      <xdr:row>48</xdr:row>
      <xdr:rowOff>96371</xdr:rowOff>
    </xdr:to>
    <xdr:graphicFrame macro="">
      <xdr:nvGraphicFramePr>
        <xdr:cNvPr id="32"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168088</xdr:colOff>
      <xdr:row>119</xdr:row>
      <xdr:rowOff>1</xdr:rowOff>
    </xdr:from>
    <xdr:to>
      <xdr:col>16</xdr:col>
      <xdr:colOff>638735</xdr:colOff>
      <xdr:row>139</xdr:row>
      <xdr:rowOff>1</xdr:rowOff>
    </xdr:to>
    <xdr:graphicFrame macro="">
      <xdr:nvGraphicFramePr>
        <xdr:cNvPr id="3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28949</xdr:colOff>
      <xdr:row>4</xdr:row>
      <xdr:rowOff>155017</xdr:rowOff>
    </xdr:from>
    <xdr:to>
      <xdr:col>10</xdr:col>
      <xdr:colOff>463490</xdr:colOff>
      <xdr:row>12</xdr:row>
      <xdr:rowOff>57424</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10181478" y="782546"/>
          <a:ext cx="2487708" cy="1191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448236</xdr:colOff>
      <xdr:row>2</xdr:row>
      <xdr:rowOff>56030</xdr:rowOff>
    </xdr:from>
    <xdr:to>
      <xdr:col>12</xdr:col>
      <xdr:colOff>47428</xdr:colOff>
      <xdr:row>6</xdr:row>
      <xdr:rowOff>24000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9558618" y="369795"/>
          <a:ext cx="1571429" cy="75238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33</xdr:col>
      <xdr:colOff>437030</xdr:colOff>
      <xdr:row>3</xdr:row>
      <xdr:rowOff>11206</xdr:rowOff>
    </xdr:from>
    <xdr:to>
      <xdr:col>35</xdr:col>
      <xdr:colOff>374081</xdr:colOff>
      <xdr:row>7</xdr:row>
      <xdr:rowOff>57616</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38122412" y="481853"/>
          <a:ext cx="1640345" cy="75238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34</xdr:col>
      <xdr:colOff>112059</xdr:colOff>
      <xdr:row>2</xdr:row>
      <xdr:rowOff>145676</xdr:rowOff>
    </xdr:from>
    <xdr:to>
      <xdr:col>35</xdr:col>
      <xdr:colOff>831841</xdr:colOff>
      <xdr:row>7</xdr:row>
      <xdr:rowOff>35204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29998147" y="459441"/>
          <a:ext cx="1571429" cy="7523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829236</xdr:colOff>
      <xdr:row>2</xdr:row>
      <xdr:rowOff>44823</xdr:rowOff>
    </xdr:from>
    <xdr:to>
      <xdr:col>10</xdr:col>
      <xdr:colOff>159488</xdr:colOff>
      <xdr:row>6</xdr:row>
      <xdr:rowOff>12793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362265" y="358588"/>
          <a:ext cx="1571429" cy="7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556372</xdr:colOff>
      <xdr:row>45</xdr:row>
      <xdr:rowOff>108135</xdr:rowOff>
    </xdr:from>
    <xdr:to>
      <xdr:col>27</xdr:col>
      <xdr:colOff>3921</xdr:colOff>
      <xdr:row>48</xdr:row>
      <xdr:rowOff>160123</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14548597" y="6499410"/>
          <a:ext cx="1419224" cy="690163"/>
        </a:xfrm>
        <a:prstGeom prst="rect">
          <a:avLst/>
        </a:prstGeom>
      </xdr:spPr>
    </xdr:pic>
    <xdr:clientData/>
  </xdr:twoCellAnchor>
  <xdr:twoCellAnchor editAs="oneCell">
    <xdr:from>
      <xdr:col>17</xdr:col>
      <xdr:colOff>403610</xdr:colOff>
      <xdr:row>3</xdr:row>
      <xdr:rowOff>1613</xdr:rowOff>
    </xdr:from>
    <xdr:to>
      <xdr:col>19</xdr:col>
      <xdr:colOff>11203</xdr:colOff>
      <xdr:row>6</xdr:row>
      <xdr:rowOff>78441</xdr:rowOff>
    </xdr:to>
    <xdr:pic>
      <xdr:nvPicPr>
        <xdr:cNvPr id="5" name="Afbeelding 4"/>
        <xdr:cNvPicPr>
          <a:picLocks noChangeAspect="1"/>
        </xdr:cNvPicPr>
      </xdr:nvPicPr>
      <xdr:blipFill>
        <a:blip xmlns:r="http://schemas.openxmlformats.org/officeDocument/2006/relationships" r:embed="rId1"/>
        <a:stretch>
          <a:fillRect/>
        </a:stretch>
      </xdr:blipFill>
      <xdr:spPr>
        <a:xfrm>
          <a:off x="9738110" y="472260"/>
          <a:ext cx="1310887" cy="625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493059</xdr:colOff>
      <xdr:row>2</xdr:row>
      <xdr:rowOff>44824</xdr:rowOff>
    </xdr:from>
    <xdr:to>
      <xdr:col>15</xdr:col>
      <xdr:colOff>92253</xdr:colOff>
      <xdr:row>6</xdr:row>
      <xdr:rowOff>12794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0645588" y="358589"/>
          <a:ext cx="1571429" cy="752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9</xdr:col>
      <xdr:colOff>376410</xdr:colOff>
      <xdr:row>2</xdr:row>
      <xdr:rowOff>8403</xdr:rowOff>
    </xdr:from>
    <xdr:ext cx="1568823" cy="752381"/>
    <xdr:pic>
      <xdr:nvPicPr>
        <xdr:cNvPr id="5" name="Afbeelding 4"/>
        <xdr:cNvPicPr>
          <a:picLocks noChangeAspect="1"/>
        </xdr:cNvPicPr>
      </xdr:nvPicPr>
      <xdr:blipFill>
        <a:blip xmlns:r="http://schemas.openxmlformats.org/officeDocument/2006/relationships" r:embed="rId1"/>
        <a:stretch>
          <a:fillRect/>
        </a:stretch>
      </xdr:blipFill>
      <xdr:spPr>
        <a:xfrm>
          <a:off x="17542577" y="325903"/>
          <a:ext cx="1568823" cy="75238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425823</xdr:colOff>
      <xdr:row>2</xdr:row>
      <xdr:rowOff>67236</xdr:rowOff>
    </xdr:from>
    <xdr:to>
      <xdr:col>13</xdr:col>
      <xdr:colOff>25018</xdr:colOff>
      <xdr:row>6</xdr:row>
      <xdr:rowOff>35206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827558" y="381001"/>
          <a:ext cx="1571429" cy="7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403411</xdr:colOff>
      <xdr:row>2</xdr:row>
      <xdr:rowOff>22412</xdr:rowOff>
    </xdr:from>
    <xdr:to>
      <xdr:col>14</xdr:col>
      <xdr:colOff>2605</xdr:colOff>
      <xdr:row>5</xdr:row>
      <xdr:rowOff>147264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491382" y="336177"/>
          <a:ext cx="1571429" cy="7523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134470</xdr:colOff>
      <xdr:row>2</xdr:row>
      <xdr:rowOff>44823</xdr:rowOff>
    </xdr:from>
    <xdr:to>
      <xdr:col>14</xdr:col>
      <xdr:colOff>47429</xdr:colOff>
      <xdr:row>6</xdr:row>
      <xdr:rowOff>12793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1609294" y="358588"/>
          <a:ext cx="1571429" cy="75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1</xdr:colOff>
      <xdr:row>2</xdr:row>
      <xdr:rowOff>89646</xdr:rowOff>
    </xdr:from>
    <xdr:to>
      <xdr:col>20</xdr:col>
      <xdr:colOff>719783</xdr:colOff>
      <xdr:row>6</xdr:row>
      <xdr:rowOff>57616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1844619" y="403411"/>
          <a:ext cx="1571429" cy="752381"/>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e.keizer@wxs.n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voraad.nl/"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voraad.nl/"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voraad.nl/" TargetMode="External"/><Relationship Id="rId1" Type="http://schemas.openxmlformats.org/officeDocument/2006/relationships/hyperlink" Target="http://www.voraad.nl/"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voraad.nl/"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voraad.nl/" TargetMode="Externa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voraad.nl/" TargetMode="External"/><Relationship Id="rId1" Type="http://schemas.openxmlformats.org/officeDocument/2006/relationships/hyperlink" Target="http://www.voraad.nl/"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oraad.n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voraad.nl/"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voraad.nl/"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58"/>
  <sheetViews>
    <sheetView showGridLines="0" zoomScaleNormal="100" zoomScaleSheetLayoutView="100" workbookViewId="0">
      <selection activeCell="C3" sqref="C3"/>
    </sheetView>
  </sheetViews>
  <sheetFormatPr defaultRowHeight="12.75" x14ac:dyDescent="0.2"/>
  <cols>
    <col min="1" max="1" width="3.7109375" style="97" customWidth="1"/>
    <col min="2" max="2" width="2.7109375" style="97" customWidth="1"/>
    <col min="3" max="9" width="9.140625" style="97"/>
    <col min="10" max="10" width="10.140625" style="97" customWidth="1"/>
    <col min="11" max="11" width="9.140625" style="97"/>
    <col min="12" max="12" width="12.7109375" style="97" bestFit="1" customWidth="1"/>
    <col min="13" max="16384" width="9.140625" style="97"/>
  </cols>
  <sheetData>
    <row r="2" spans="3:18" x14ac:dyDescent="0.2">
      <c r="R2"/>
    </row>
    <row r="3" spans="3:18" ht="15.75" x14ac:dyDescent="0.25">
      <c r="C3" s="1" t="s">
        <v>900</v>
      </c>
      <c r="K3" s="1" t="s">
        <v>162</v>
      </c>
      <c r="L3" s="533">
        <v>42525</v>
      </c>
      <c r="R3"/>
    </row>
    <row r="4" spans="3:18" x14ac:dyDescent="0.2">
      <c r="C4" s="2"/>
      <c r="K4" s="2"/>
      <c r="R4"/>
    </row>
    <row r="5" spans="3:18" x14ac:dyDescent="0.2">
      <c r="C5" s="2" t="s">
        <v>96</v>
      </c>
      <c r="K5" s="2"/>
      <c r="R5"/>
    </row>
    <row r="6" spans="3:18" x14ac:dyDescent="0.2">
      <c r="C6" s="99" t="s">
        <v>901</v>
      </c>
      <c r="K6" s="2"/>
      <c r="R6"/>
    </row>
    <row r="7" spans="3:18" x14ac:dyDescent="0.2">
      <c r="C7" s="99" t="s">
        <v>1019</v>
      </c>
      <c r="K7" s="2"/>
      <c r="R7"/>
    </row>
    <row r="8" spans="3:18" x14ac:dyDescent="0.2">
      <c r="C8" s="99" t="s">
        <v>1020</v>
      </c>
      <c r="K8" s="2"/>
      <c r="R8"/>
    </row>
    <row r="9" spans="3:18" x14ac:dyDescent="0.2">
      <c r="C9" s="99" t="s">
        <v>1021</v>
      </c>
      <c r="K9" s="2"/>
      <c r="R9"/>
    </row>
    <row r="10" spans="3:18" x14ac:dyDescent="0.2">
      <c r="C10" s="99" t="s">
        <v>1022</v>
      </c>
      <c r="K10" s="2"/>
      <c r="R10"/>
    </row>
    <row r="11" spans="3:18" x14ac:dyDescent="0.2">
      <c r="C11" s="99"/>
      <c r="K11" s="2"/>
      <c r="R11"/>
    </row>
    <row r="12" spans="3:18" x14ac:dyDescent="0.2">
      <c r="C12" s="1698" t="s">
        <v>1023</v>
      </c>
      <c r="K12" s="2"/>
      <c r="R12"/>
    </row>
    <row r="13" spans="3:18" x14ac:dyDescent="0.2">
      <c r="C13" s="2" t="s">
        <v>1024</v>
      </c>
      <c r="K13" s="2"/>
      <c r="R13"/>
    </row>
    <row r="14" spans="3:18" x14ac:dyDescent="0.2">
      <c r="C14" s="1698" t="s">
        <v>1025</v>
      </c>
      <c r="K14" s="2"/>
      <c r="R14"/>
    </row>
    <row r="15" spans="3:18" x14ac:dyDescent="0.2">
      <c r="C15" s="99"/>
      <c r="K15" s="2"/>
      <c r="R15"/>
    </row>
    <row r="16" spans="3:18" x14ac:dyDescent="0.2">
      <c r="C16" s="97" t="s">
        <v>187</v>
      </c>
      <c r="K16" s="2"/>
      <c r="R16"/>
    </row>
    <row r="17" spans="3:18" x14ac:dyDescent="0.2">
      <c r="C17" s="97" t="s">
        <v>52</v>
      </c>
      <c r="K17" s="2"/>
      <c r="R17"/>
    </row>
    <row r="18" spans="3:18" x14ac:dyDescent="0.2">
      <c r="K18" s="2"/>
      <c r="R18"/>
    </row>
    <row r="19" spans="3:18" x14ac:dyDescent="0.2">
      <c r="C19" s="97" t="s">
        <v>39</v>
      </c>
      <c r="K19" s="2"/>
      <c r="R19"/>
    </row>
    <row r="20" spans="3:18" x14ac:dyDescent="0.2">
      <c r="C20" s="97" t="s">
        <v>40</v>
      </c>
      <c r="K20" s="2"/>
      <c r="R20"/>
    </row>
    <row r="21" spans="3:18" x14ac:dyDescent="0.2">
      <c r="C21" s="97" t="s">
        <v>279</v>
      </c>
      <c r="K21" s="2"/>
      <c r="R21"/>
    </row>
    <row r="22" spans="3:18" x14ac:dyDescent="0.2">
      <c r="K22" s="2"/>
      <c r="R22"/>
    </row>
    <row r="23" spans="3:18" x14ac:dyDescent="0.2">
      <c r="C23" s="97" t="s">
        <v>755</v>
      </c>
      <c r="L23" s="549"/>
      <c r="R23"/>
    </row>
    <row r="24" spans="3:18" x14ac:dyDescent="0.2">
      <c r="C24" s="97" t="s">
        <v>756</v>
      </c>
      <c r="L24" s="549"/>
      <c r="R24"/>
    </row>
    <row r="25" spans="3:18" x14ac:dyDescent="0.2">
      <c r="C25" s="97" t="s">
        <v>313</v>
      </c>
      <c r="L25" s="549"/>
      <c r="R25"/>
    </row>
    <row r="26" spans="3:18" x14ac:dyDescent="0.2">
      <c r="C26" s="97" t="s">
        <v>770</v>
      </c>
      <c r="L26" s="549"/>
      <c r="R26"/>
    </row>
    <row r="27" spans="3:18" x14ac:dyDescent="0.2">
      <c r="C27" s="97" t="s">
        <v>771</v>
      </c>
      <c r="L27" s="549"/>
      <c r="R27"/>
    </row>
    <row r="28" spans="3:18" x14ac:dyDescent="0.2">
      <c r="C28" s="97" t="s">
        <v>132</v>
      </c>
      <c r="L28" s="549"/>
      <c r="R28"/>
    </row>
    <row r="29" spans="3:18" x14ac:dyDescent="0.2">
      <c r="C29" s="97" t="s">
        <v>97</v>
      </c>
      <c r="R29"/>
    </row>
    <row r="30" spans="3:18" x14ac:dyDescent="0.2">
      <c r="C30" s="97" t="s">
        <v>506</v>
      </c>
      <c r="R30"/>
    </row>
    <row r="31" spans="3:18" x14ac:dyDescent="0.2">
      <c r="C31" s="99"/>
      <c r="R31"/>
    </row>
    <row r="32" spans="3:18" x14ac:dyDescent="0.2">
      <c r="C32" s="97" t="s">
        <v>874</v>
      </c>
      <c r="R32"/>
    </row>
    <row r="33" spans="3:19" x14ac:dyDescent="0.2">
      <c r="C33" s="97" t="s">
        <v>98</v>
      </c>
      <c r="R33"/>
    </row>
    <row r="34" spans="3:19" x14ac:dyDescent="0.2">
      <c r="R34"/>
    </row>
    <row r="35" spans="3:19" x14ac:dyDescent="0.2">
      <c r="C35" s="97" t="s">
        <v>709</v>
      </c>
      <c r="R35"/>
    </row>
    <row r="36" spans="3:19" x14ac:dyDescent="0.2">
      <c r="C36" s="97" t="s">
        <v>710</v>
      </c>
      <c r="R36"/>
    </row>
    <row r="37" spans="3:19" x14ac:dyDescent="0.2">
      <c r="C37" s="97" t="s">
        <v>280</v>
      </c>
      <c r="R37"/>
    </row>
    <row r="38" spans="3:19" x14ac:dyDescent="0.2">
      <c r="C38" s="97" t="s">
        <v>1029</v>
      </c>
      <c r="R38"/>
    </row>
    <row r="39" spans="3:19" x14ac:dyDescent="0.2">
      <c r="R39"/>
    </row>
    <row r="40" spans="3:19" x14ac:dyDescent="0.2">
      <c r="C40" s="2" t="s">
        <v>255</v>
      </c>
      <c r="R40"/>
    </row>
    <row r="41" spans="3:19" x14ac:dyDescent="0.2">
      <c r="C41" s="97" t="s">
        <v>41</v>
      </c>
      <c r="R41"/>
    </row>
    <row r="42" spans="3:19" x14ac:dyDescent="0.2">
      <c r="C42" s="97" t="s">
        <v>711</v>
      </c>
      <c r="R42"/>
    </row>
    <row r="43" spans="3:19" x14ac:dyDescent="0.2">
      <c r="C43" s="97" t="s">
        <v>885</v>
      </c>
      <c r="R43"/>
    </row>
    <row r="44" spans="3:19" x14ac:dyDescent="0.2">
      <c r="C44" s="97" t="s">
        <v>886</v>
      </c>
      <c r="Q44" s="1214"/>
      <c r="R44" s="1215"/>
      <c r="S44" s="1214"/>
    </row>
    <row r="45" spans="3:19" x14ac:dyDescent="0.2">
      <c r="C45" s="97" t="s">
        <v>510</v>
      </c>
      <c r="Q45" s="1214"/>
      <c r="R45" s="1216"/>
      <c r="S45" s="1214"/>
    </row>
    <row r="46" spans="3:19" x14ac:dyDescent="0.2">
      <c r="C46" s="97" t="s">
        <v>511</v>
      </c>
      <c r="Q46" s="1214"/>
      <c r="R46" s="1217"/>
      <c r="S46" s="1214"/>
    </row>
    <row r="47" spans="3:19" x14ac:dyDescent="0.2">
      <c r="C47" s="97" t="s">
        <v>281</v>
      </c>
      <c r="Q47" s="1214"/>
      <c r="R47" s="1216"/>
      <c r="S47" s="1214"/>
    </row>
    <row r="48" spans="3:19" x14ac:dyDescent="0.2">
      <c r="C48" s="97" t="s">
        <v>953</v>
      </c>
      <c r="I48" s="2"/>
      <c r="Q48" s="1214"/>
      <c r="R48" s="1216"/>
      <c r="S48" s="1214"/>
    </row>
    <row r="49" spans="3:18" x14ac:dyDescent="0.2">
      <c r="C49" s="97" t="s">
        <v>753</v>
      </c>
      <c r="R49" s="932"/>
    </row>
    <row r="50" spans="3:18" x14ac:dyDescent="0.2">
      <c r="C50" s="97" t="s">
        <v>754</v>
      </c>
      <c r="R50" s="932"/>
    </row>
    <row r="51" spans="3:18" x14ac:dyDescent="0.2">
      <c r="C51" s="97" t="s">
        <v>749</v>
      </c>
      <c r="R51" s="932"/>
    </row>
    <row r="52" spans="3:18" x14ac:dyDescent="0.2">
      <c r="R52" s="932"/>
    </row>
    <row r="53" spans="3:18" x14ac:dyDescent="0.2">
      <c r="C53" s="97" t="s">
        <v>906</v>
      </c>
      <c r="R53" s="932"/>
    </row>
    <row r="54" spans="3:18" x14ac:dyDescent="0.2">
      <c r="C54" s="97" t="s">
        <v>954</v>
      </c>
      <c r="R54" s="932"/>
    </row>
    <row r="55" spans="3:18" x14ac:dyDescent="0.2">
      <c r="C55" s="97" t="s">
        <v>955</v>
      </c>
      <c r="R55" s="932"/>
    </row>
    <row r="56" spans="3:18" x14ac:dyDescent="0.2">
      <c r="C56" s="97" t="s">
        <v>957</v>
      </c>
      <c r="R56" s="932"/>
    </row>
    <row r="57" spans="3:18" x14ac:dyDescent="0.2">
      <c r="C57" s="97" t="s">
        <v>956</v>
      </c>
      <c r="R57" s="932"/>
    </row>
    <row r="58" spans="3:18" x14ac:dyDescent="0.2">
      <c r="R58" s="932"/>
    </row>
    <row r="59" spans="3:18" x14ac:dyDescent="0.2">
      <c r="C59" s="97" t="s">
        <v>512</v>
      </c>
    </row>
    <row r="60" spans="3:18" x14ac:dyDescent="0.2">
      <c r="C60" s="97" t="s">
        <v>513</v>
      </c>
    </row>
    <row r="61" spans="3:18" x14ac:dyDescent="0.2">
      <c r="C61" s="97" t="s">
        <v>958</v>
      </c>
    </row>
    <row r="63" spans="3:18" x14ac:dyDescent="0.2">
      <c r="C63" s="97" t="s">
        <v>42</v>
      </c>
    </row>
    <row r="64" spans="3:18" x14ac:dyDescent="0.2">
      <c r="C64" s="97" t="s">
        <v>44</v>
      </c>
    </row>
    <row r="66" spans="3:3" x14ac:dyDescent="0.2">
      <c r="C66" s="550" t="s">
        <v>19</v>
      </c>
    </row>
    <row r="67" spans="3:3" x14ac:dyDescent="0.2">
      <c r="C67" s="97" t="s">
        <v>514</v>
      </c>
    </row>
    <row r="69" spans="3:3" x14ac:dyDescent="0.2">
      <c r="C69" s="2" t="s">
        <v>959</v>
      </c>
    </row>
    <row r="70" spans="3:3" x14ac:dyDescent="0.2">
      <c r="C70" s="2" t="s">
        <v>542</v>
      </c>
    </row>
    <row r="71" spans="3:3" x14ac:dyDescent="0.2">
      <c r="C71" s="2" t="s">
        <v>875</v>
      </c>
    </row>
    <row r="72" spans="3:3" x14ac:dyDescent="0.2">
      <c r="C72" s="97" t="s">
        <v>712</v>
      </c>
    </row>
    <row r="73" spans="3:3" x14ac:dyDescent="0.2">
      <c r="C73" s="97" t="s">
        <v>713</v>
      </c>
    </row>
    <row r="75" spans="3:3" x14ac:dyDescent="0.2">
      <c r="C75" s="593" t="s">
        <v>721</v>
      </c>
    </row>
    <row r="76" spans="3:3" x14ac:dyDescent="0.2">
      <c r="C76" s="97" t="s">
        <v>722</v>
      </c>
    </row>
    <row r="77" spans="3:3" x14ac:dyDescent="0.2">
      <c r="C77" s="97" t="s">
        <v>960</v>
      </c>
    </row>
    <row r="78" spans="3:3" x14ac:dyDescent="0.2">
      <c r="C78" s="97" t="s">
        <v>961</v>
      </c>
    </row>
    <row r="79" spans="3:3" x14ac:dyDescent="0.2">
      <c r="C79" s="97" t="s">
        <v>962</v>
      </c>
    </row>
    <row r="80" spans="3:3" x14ac:dyDescent="0.2">
      <c r="C80" s="97" t="s">
        <v>963</v>
      </c>
    </row>
    <row r="81" spans="3:3" x14ac:dyDescent="0.2">
      <c r="C81" s="97" t="s">
        <v>772</v>
      </c>
    </row>
    <row r="83" spans="3:3" x14ac:dyDescent="0.2">
      <c r="C83" s="550" t="s">
        <v>22</v>
      </c>
    </row>
    <row r="84" spans="3:3" x14ac:dyDescent="0.2">
      <c r="C84" s="97" t="s">
        <v>750</v>
      </c>
    </row>
    <row r="86" spans="3:3" x14ac:dyDescent="0.2">
      <c r="C86" s="97" t="s">
        <v>887</v>
      </c>
    </row>
    <row r="87" spans="3:3" x14ac:dyDescent="0.2">
      <c r="C87" s="97" t="s">
        <v>858</v>
      </c>
    </row>
    <row r="88" spans="3:3" x14ac:dyDescent="0.2">
      <c r="C88" s="97" t="s">
        <v>1013</v>
      </c>
    </row>
    <row r="89" spans="3:3" x14ac:dyDescent="0.2">
      <c r="C89" s="97" t="s">
        <v>714</v>
      </c>
    </row>
    <row r="90" spans="3:3" x14ac:dyDescent="0.2">
      <c r="C90" s="97" t="s">
        <v>773</v>
      </c>
    </row>
    <row r="92" spans="3:3" x14ac:dyDescent="0.2">
      <c r="C92" s="2" t="s">
        <v>535</v>
      </c>
    </row>
    <row r="93" spans="3:3" x14ac:dyDescent="0.2">
      <c r="C93" s="97" t="s">
        <v>23</v>
      </c>
    </row>
    <row r="94" spans="3:3" x14ac:dyDescent="0.2">
      <c r="C94" s="2" t="s">
        <v>516</v>
      </c>
    </row>
    <row r="95" spans="3:3" x14ac:dyDescent="0.2">
      <c r="C95" s="97" t="s">
        <v>570</v>
      </c>
    </row>
    <row r="96" spans="3:3" x14ac:dyDescent="0.2">
      <c r="C96" s="97" t="s">
        <v>314</v>
      </c>
    </row>
    <row r="97" spans="3:3" x14ac:dyDescent="0.2">
      <c r="C97" s="97" t="s">
        <v>888</v>
      </c>
    </row>
    <row r="99" spans="3:3" x14ac:dyDescent="0.2">
      <c r="C99" s="2" t="s">
        <v>859</v>
      </c>
    </row>
    <row r="100" spans="3:3" x14ac:dyDescent="0.2">
      <c r="C100" s="97" t="s">
        <v>715</v>
      </c>
    </row>
    <row r="102" spans="3:3" x14ac:dyDescent="0.2">
      <c r="C102" s="593" t="s">
        <v>914</v>
      </c>
    </row>
    <row r="103" spans="3:3" x14ac:dyDescent="0.2">
      <c r="C103" s="97" t="s">
        <v>571</v>
      </c>
    </row>
    <row r="104" spans="3:3" x14ac:dyDescent="0.2">
      <c r="C104" s="97" t="s">
        <v>572</v>
      </c>
    </row>
    <row r="105" spans="3:3" x14ac:dyDescent="0.2">
      <c r="C105" s="97" t="s">
        <v>573</v>
      </c>
    </row>
    <row r="106" spans="3:3" x14ac:dyDescent="0.2">
      <c r="C106" s="97" t="s">
        <v>574</v>
      </c>
    </row>
    <row r="108" spans="3:3" x14ac:dyDescent="0.2">
      <c r="C108" s="97" t="s">
        <v>554</v>
      </c>
    </row>
    <row r="109" spans="3:3" x14ac:dyDescent="0.2">
      <c r="C109" s="97" t="s">
        <v>716</v>
      </c>
    </row>
    <row r="110" spans="3:3" x14ac:dyDescent="0.2">
      <c r="C110" s="97" t="s">
        <v>555</v>
      </c>
    </row>
    <row r="111" spans="3:3" x14ac:dyDescent="0.2">
      <c r="C111" s="97" t="s">
        <v>556</v>
      </c>
    </row>
    <row r="112" spans="3:3" x14ac:dyDescent="0.2">
      <c r="C112" s="97" t="s">
        <v>876</v>
      </c>
    </row>
    <row r="113" spans="3:3" x14ac:dyDescent="0.2">
      <c r="C113" s="97" t="s">
        <v>915</v>
      </c>
    </row>
    <row r="114" spans="3:3" x14ac:dyDescent="0.2">
      <c r="C114" s="97" t="s">
        <v>982</v>
      </c>
    </row>
    <row r="115" spans="3:3" x14ac:dyDescent="0.2">
      <c r="C115" s="97" t="s">
        <v>983</v>
      </c>
    </row>
    <row r="117" spans="3:3" x14ac:dyDescent="0.2">
      <c r="C117" s="593" t="s">
        <v>517</v>
      </c>
    </row>
    <row r="118" spans="3:3" x14ac:dyDescent="0.2">
      <c r="C118" s="97" t="s">
        <v>518</v>
      </c>
    </row>
    <row r="119" spans="3:3" x14ac:dyDescent="0.2">
      <c r="C119" s="97" t="s">
        <v>536</v>
      </c>
    </row>
    <row r="120" spans="3:3" x14ac:dyDescent="0.2">
      <c r="C120" s="97" t="s">
        <v>519</v>
      </c>
    </row>
    <row r="121" spans="3:3" x14ac:dyDescent="0.2">
      <c r="C121" s="97" t="s">
        <v>520</v>
      </c>
    </row>
    <row r="123" spans="3:3" x14ac:dyDescent="0.2">
      <c r="C123" s="593" t="s">
        <v>521</v>
      </c>
    </row>
    <row r="124" spans="3:3" x14ac:dyDescent="0.2">
      <c r="C124" s="97" t="s">
        <v>751</v>
      </c>
    </row>
    <row r="125" spans="3:3" x14ac:dyDescent="0.2">
      <c r="C125" s="97" t="s">
        <v>964</v>
      </c>
    </row>
    <row r="126" spans="3:3" x14ac:dyDescent="0.2">
      <c r="C126" s="97" t="s">
        <v>965</v>
      </c>
    </row>
    <row r="127" spans="3:3" x14ac:dyDescent="0.2">
      <c r="C127" s="97" t="s">
        <v>966</v>
      </c>
    </row>
    <row r="128" spans="3:3" x14ac:dyDescent="0.2">
      <c r="C128" s="97" t="s">
        <v>752</v>
      </c>
    </row>
    <row r="130" spans="3:3" x14ac:dyDescent="0.2">
      <c r="C130" s="97" t="s">
        <v>877</v>
      </c>
    </row>
    <row r="131" spans="3:3" x14ac:dyDescent="0.2">
      <c r="C131" s="97" t="s">
        <v>774</v>
      </c>
    </row>
    <row r="132" spans="3:3" x14ac:dyDescent="0.2">
      <c r="C132" s="97" t="s">
        <v>775</v>
      </c>
    </row>
    <row r="134" spans="3:3" x14ac:dyDescent="0.2">
      <c r="C134" s="550" t="s">
        <v>45</v>
      </c>
    </row>
    <row r="135" spans="3:3" x14ac:dyDescent="0.2">
      <c r="C135" s="97" t="s">
        <v>282</v>
      </c>
    </row>
    <row r="136" spans="3:3" x14ac:dyDescent="0.2">
      <c r="C136" s="97" t="s">
        <v>967</v>
      </c>
    </row>
    <row r="137" spans="3:3" x14ac:dyDescent="0.2">
      <c r="C137" s="97" t="s">
        <v>984</v>
      </c>
    </row>
    <row r="138" spans="3:3" x14ac:dyDescent="0.2">
      <c r="C138" s="97" t="s">
        <v>723</v>
      </c>
    </row>
    <row r="139" spans="3:3" x14ac:dyDescent="0.2">
      <c r="C139" s="97" t="s">
        <v>860</v>
      </c>
    </row>
    <row r="140" spans="3:3" x14ac:dyDescent="0.2">
      <c r="C140" s="97" t="s">
        <v>727</v>
      </c>
    </row>
    <row r="141" spans="3:3" x14ac:dyDescent="0.2">
      <c r="C141" s="97" t="s">
        <v>968</v>
      </c>
    </row>
    <row r="143" spans="3:3" x14ac:dyDescent="0.2">
      <c r="C143" s="97" t="s">
        <v>139</v>
      </c>
    </row>
    <row r="144" spans="3:3" x14ac:dyDescent="0.2">
      <c r="C144" s="97" t="s">
        <v>575</v>
      </c>
    </row>
    <row r="146" spans="3:3" x14ac:dyDescent="0.2">
      <c r="C146" s="97" t="s">
        <v>969</v>
      </c>
    </row>
    <row r="147" spans="3:3" x14ac:dyDescent="0.2">
      <c r="C147" s="97" t="s">
        <v>729</v>
      </c>
    </row>
    <row r="149" spans="3:3" x14ac:dyDescent="0.2">
      <c r="C149" s="97" t="s">
        <v>970</v>
      </c>
    </row>
    <row r="151" spans="3:3" x14ac:dyDescent="0.2">
      <c r="C151" s="593" t="s">
        <v>576</v>
      </c>
    </row>
    <row r="152" spans="3:3" x14ac:dyDescent="0.2">
      <c r="C152" s="97" t="s">
        <v>577</v>
      </c>
    </row>
    <row r="153" spans="3:3" x14ac:dyDescent="0.2">
      <c r="C153" s="97" t="s">
        <v>578</v>
      </c>
    </row>
    <row r="154" spans="3:3" x14ac:dyDescent="0.2">
      <c r="C154" s="97" t="s">
        <v>183</v>
      </c>
    </row>
    <row r="155" spans="3:3" s="3" customFormat="1" x14ac:dyDescent="0.2">
      <c r="C155" s="5" t="s">
        <v>861</v>
      </c>
    </row>
    <row r="156" spans="3:3" x14ac:dyDescent="0.2">
      <c r="C156" s="97" t="s">
        <v>862</v>
      </c>
    </row>
    <row r="157" spans="3:3" x14ac:dyDescent="0.2">
      <c r="C157" s="97" t="s">
        <v>315</v>
      </c>
    </row>
    <row r="158" spans="3:3" x14ac:dyDescent="0.2">
      <c r="C158" s="97" t="s">
        <v>272</v>
      </c>
    </row>
    <row r="159" spans="3:3" x14ac:dyDescent="0.2">
      <c r="C159" s="97" t="s">
        <v>184</v>
      </c>
    </row>
    <row r="160" spans="3:3" x14ac:dyDescent="0.2">
      <c r="C160" s="97" t="s">
        <v>878</v>
      </c>
    </row>
    <row r="161" spans="3:3" x14ac:dyDescent="0.2">
      <c r="C161" s="97" t="s">
        <v>185</v>
      </c>
    </row>
    <row r="163" spans="3:3" x14ac:dyDescent="0.2">
      <c r="C163" s="550" t="s">
        <v>46</v>
      </c>
    </row>
    <row r="164" spans="3:3" x14ac:dyDescent="0.2">
      <c r="C164" s="97" t="s">
        <v>537</v>
      </c>
    </row>
    <row r="165" spans="3:3" x14ac:dyDescent="0.2">
      <c r="C165" s="97" t="s">
        <v>139</v>
      </c>
    </row>
    <row r="166" spans="3:3" x14ac:dyDescent="0.2">
      <c r="C166" s="97" t="s">
        <v>575</v>
      </c>
    </row>
    <row r="167" spans="3:3" x14ac:dyDescent="0.2">
      <c r="C167" s="97" t="s">
        <v>971</v>
      </c>
    </row>
    <row r="168" spans="3:3" x14ac:dyDescent="0.2">
      <c r="C168" s="97" t="s">
        <v>972</v>
      </c>
    </row>
    <row r="170" spans="3:3" x14ac:dyDescent="0.2">
      <c r="C170" s="593" t="s">
        <v>522</v>
      </c>
    </row>
    <row r="171" spans="3:3" x14ac:dyDescent="0.2">
      <c r="C171" s="97" t="s">
        <v>523</v>
      </c>
    </row>
    <row r="172" spans="3:3" x14ac:dyDescent="0.2">
      <c r="C172" s="97" t="s">
        <v>524</v>
      </c>
    </row>
    <row r="173" spans="3:3" x14ac:dyDescent="0.2">
      <c r="C173" s="97" t="s">
        <v>526</v>
      </c>
    </row>
    <row r="175" spans="3:3" x14ac:dyDescent="0.2">
      <c r="C175" s="550" t="s">
        <v>47</v>
      </c>
    </row>
    <row r="176" spans="3:3" x14ac:dyDescent="0.2">
      <c r="C176" s="97" t="s">
        <v>273</v>
      </c>
    </row>
    <row r="177" spans="3:3" x14ac:dyDescent="0.2">
      <c r="C177" s="97" t="s">
        <v>863</v>
      </c>
    </row>
    <row r="178" spans="3:3" x14ac:dyDescent="0.2">
      <c r="C178" s="97" t="s">
        <v>579</v>
      </c>
    </row>
    <row r="179" spans="3:3" x14ac:dyDescent="0.2">
      <c r="C179" s="97" t="s">
        <v>91</v>
      </c>
    </row>
    <row r="180" spans="3:3" x14ac:dyDescent="0.2">
      <c r="C180" s="97" t="s">
        <v>864</v>
      </c>
    </row>
    <row r="182" spans="3:3" x14ac:dyDescent="0.2">
      <c r="C182" s="550" t="s">
        <v>48</v>
      </c>
    </row>
    <row r="183" spans="3:3" x14ac:dyDescent="0.2">
      <c r="C183" s="97" t="s">
        <v>194</v>
      </c>
    </row>
    <row r="184" spans="3:3" x14ac:dyDescent="0.2">
      <c r="C184" s="97" t="s">
        <v>49</v>
      </c>
    </row>
    <row r="186" spans="3:3" x14ac:dyDescent="0.2">
      <c r="C186" s="550" t="s">
        <v>50</v>
      </c>
    </row>
    <row r="187" spans="3:3" x14ac:dyDescent="0.2">
      <c r="C187" s="97" t="s">
        <v>51</v>
      </c>
    </row>
    <row r="188" spans="3:3" x14ac:dyDescent="0.2">
      <c r="C188" s="97" t="s">
        <v>54</v>
      </c>
    </row>
    <row r="190" spans="3:3" x14ac:dyDescent="0.2">
      <c r="C190" s="97" t="s">
        <v>86</v>
      </c>
    </row>
    <row r="192" spans="3:3" x14ac:dyDescent="0.2">
      <c r="C192" s="550" t="s">
        <v>55</v>
      </c>
    </row>
    <row r="193" spans="3:19" x14ac:dyDescent="0.2">
      <c r="C193" s="97" t="s">
        <v>87</v>
      </c>
    </row>
    <row r="194" spans="3:19" x14ac:dyDescent="0.2">
      <c r="C194" s="97" t="s">
        <v>93</v>
      </c>
    </row>
    <row r="195" spans="3:19" x14ac:dyDescent="0.2">
      <c r="C195" s="97" t="s">
        <v>286</v>
      </c>
    </row>
    <row r="197" spans="3:19" x14ac:dyDescent="0.2">
      <c r="C197" s="97" t="s">
        <v>580</v>
      </c>
    </row>
    <row r="198" spans="3:19" x14ac:dyDescent="0.2">
      <c r="C198" s="97" t="s">
        <v>776</v>
      </c>
    </row>
    <row r="200" spans="3:19" x14ac:dyDescent="0.2">
      <c r="C200" s="593" t="s">
        <v>1026</v>
      </c>
    </row>
    <row r="201" spans="3:19" x14ac:dyDescent="0.2">
      <c r="C201" s="97" t="s">
        <v>274</v>
      </c>
    </row>
    <row r="202" spans="3:19" x14ac:dyDescent="0.2">
      <c r="C202" s="97" t="s">
        <v>56</v>
      </c>
    </row>
    <row r="204" spans="3:19" x14ac:dyDescent="0.2">
      <c r="C204" s="705" t="s">
        <v>1027</v>
      </c>
    </row>
    <row r="205" spans="3:19" x14ac:dyDescent="0.2">
      <c r="C205" s="97" t="s">
        <v>538</v>
      </c>
    </row>
    <row r="206" spans="3:19" ht="15" x14ac:dyDescent="0.25">
      <c r="C206" s="97" t="s">
        <v>503</v>
      </c>
      <c r="Q206" s="706"/>
      <c r="S206" s="706"/>
    </row>
    <row r="207" spans="3:19" x14ac:dyDescent="0.2">
      <c r="C207" s="97" t="s">
        <v>973</v>
      </c>
    </row>
    <row r="208" spans="3:19" x14ac:dyDescent="0.2">
      <c r="C208" s="97" t="s">
        <v>879</v>
      </c>
    </row>
    <row r="209" spans="3:20" ht="15" x14ac:dyDescent="0.25">
      <c r="T209" s="706"/>
    </row>
    <row r="210" spans="3:20" ht="15" x14ac:dyDescent="0.25">
      <c r="C210" s="705" t="s">
        <v>1028</v>
      </c>
      <c r="T210" s="706"/>
    </row>
    <row r="211" spans="3:20" ht="15" x14ac:dyDescent="0.25">
      <c r="C211" s="97" t="s">
        <v>865</v>
      </c>
      <c r="T211" s="706"/>
    </row>
    <row r="212" spans="3:20" ht="15" x14ac:dyDescent="0.25">
      <c r="C212" s="97" t="s">
        <v>590</v>
      </c>
      <c r="T212" s="706"/>
    </row>
    <row r="213" spans="3:20" ht="15" x14ac:dyDescent="0.25">
      <c r="T213" s="706"/>
    </row>
    <row r="214" spans="3:20" x14ac:dyDescent="0.2">
      <c r="C214" s="550" t="s">
        <v>186</v>
      </c>
    </row>
    <row r="215" spans="3:20" x14ac:dyDescent="0.2">
      <c r="C215" s="98" t="s">
        <v>304</v>
      </c>
    </row>
    <row r="216" spans="3:20" x14ac:dyDescent="0.2">
      <c r="C216" s="5" t="s">
        <v>1030</v>
      </c>
    </row>
    <row r="217" spans="3:20" x14ac:dyDescent="0.2">
      <c r="C217" s="5" t="s">
        <v>974</v>
      </c>
    </row>
    <row r="218" spans="3:20" x14ac:dyDescent="0.2">
      <c r="C218" s="5" t="s">
        <v>1031</v>
      </c>
    </row>
    <row r="219" spans="3:20" x14ac:dyDescent="0.2">
      <c r="C219" s="5"/>
    </row>
    <row r="220" spans="3:20" x14ac:dyDescent="0.2">
      <c r="C220" s="5" t="s">
        <v>975</v>
      </c>
    </row>
    <row r="221" spans="3:20" x14ac:dyDescent="0.2">
      <c r="C221" s="5" t="s">
        <v>976</v>
      </c>
    </row>
    <row r="222" spans="3:20" x14ac:dyDescent="0.2">
      <c r="C222" s="5" t="s">
        <v>591</v>
      </c>
    </row>
    <row r="223" spans="3:20" x14ac:dyDescent="0.2">
      <c r="C223" s="5" t="s">
        <v>539</v>
      </c>
    </row>
    <row r="225" spans="3:3" x14ac:dyDescent="0.2">
      <c r="C225" s="593" t="s">
        <v>540</v>
      </c>
    </row>
    <row r="226" spans="3:3" x14ac:dyDescent="0.2">
      <c r="C226" s="97" t="s">
        <v>730</v>
      </c>
    </row>
    <row r="227" spans="3:3" x14ac:dyDescent="0.2">
      <c r="C227" s="97" t="s">
        <v>731</v>
      </c>
    </row>
    <row r="228" spans="3:3" x14ac:dyDescent="0.2">
      <c r="C228" s="97" t="s">
        <v>733</v>
      </c>
    </row>
    <row r="229" spans="3:3" x14ac:dyDescent="0.2">
      <c r="C229" s="97" t="s">
        <v>717</v>
      </c>
    </row>
    <row r="230" spans="3:3" x14ac:dyDescent="0.2">
      <c r="C230" s="97" t="s">
        <v>528</v>
      </c>
    </row>
    <row r="231" spans="3:3" x14ac:dyDescent="0.2">
      <c r="C231" s="97" t="s">
        <v>529</v>
      </c>
    </row>
    <row r="233" spans="3:3" x14ac:dyDescent="0.2">
      <c r="C233" s="593" t="s">
        <v>541</v>
      </c>
    </row>
    <row r="234" spans="3:3" x14ac:dyDescent="0.2">
      <c r="C234" s="97" t="s">
        <v>527</v>
      </c>
    </row>
    <row r="235" spans="3:3" x14ac:dyDescent="0.2">
      <c r="C235" s="97" t="s">
        <v>24</v>
      </c>
    </row>
    <row r="236" spans="3:3" x14ac:dyDescent="0.2">
      <c r="C236" s="97" t="s">
        <v>717</v>
      </c>
    </row>
    <row r="237" spans="3:3" x14ac:dyDescent="0.2">
      <c r="C237" s="97" t="s">
        <v>881</v>
      </c>
    </row>
    <row r="238" spans="3:3" x14ac:dyDescent="0.2">
      <c r="C238" s="97" t="s">
        <v>880</v>
      </c>
    </row>
    <row r="240" spans="3:3" x14ac:dyDescent="0.2">
      <c r="C240" s="550" t="s">
        <v>53</v>
      </c>
    </row>
    <row r="241" spans="3:3" x14ac:dyDescent="0.2">
      <c r="C241" s="97" t="s">
        <v>21</v>
      </c>
    </row>
    <row r="242" spans="3:3" x14ac:dyDescent="0.2">
      <c r="C242" s="97" t="s">
        <v>20</v>
      </c>
    </row>
    <row r="243" spans="3:3" x14ac:dyDescent="0.2">
      <c r="C243" s="97" t="s">
        <v>66</v>
      </c>
    </row>
    <row r="244" spans="3:3" x14ac:dyDescent="0.2">
      <c r="C244" s="97" t="s">
        <v>88</v>
      </c>
    </row>
    <row r="245" spans="3:3" x14ac:dyDescent="0.2">
      <c r="C245" s="97" t="s">
        <v>133</v>
      </c>
    </row>
    <row r="246" spans="3:3" x14ac:dyDescent="0.2">
      <c r="C246" s="97" t="s">
        <v>595</v>
      </c>
    </row>
    <row r="247" spans="3:3" x14ac:dyDescent="0.2">
      <c r="C247" s="97" t="s">
        <v>134</v>
      </c>
    </row>
    <row r="248" spans="3:3" x14ac:dyDescent="0.2">
      <c r="C248" s="97" t="s">
        <v>135</v>
      </c>
    </row>
    <row r="249" spans="3:3" x14ac:dyDescent="0.2">
      <c r="C249" s="97" t="s">
        <v>530</v>
      </c>
    </row>
    <row r="251" spans="3:3" x14ac:dyDescent="0.2">
      <c r="C251" s="97" t="s">
        <v>136</v>
      </c>
    </row>
    <row r="252" spans="3:3" x14ac:dyDescent="0.2">
      <c r="C252" s="97" t="s">
        <v>592</v>
      </c>
    </row>
    <row r="253" spans="3:3" x14ac:dyDescent="0.2">
      <c r="C253" s="2" t="s">
        <v>593</v>
      </c>
    </row>
    <row r="254" spans="3:3" x14ac:dyDescent="0.2">
      <c r="C254" s="591" t="s">
        <v>605</v>
      </c>
    </row>
    <row r="255" spans="3:3" x14ac:dyDescent="0.2">
      <c r="C255" s="97" t="s">
        <v>594</v>
      </c>
    </row>
    <row r="256" spans="3:3" x14ac:dyDescent="0.2">
      <c r="C256" s="97" t="s">
        <v>138</v>
      </c>
    </row>
    <row r="257" spans="3:8" x14ac:dyDescent="0.2">
      <c r="C257" s="97" t="s">
        <v>137</v>
      </c>
    </row>
    <row r="258" spans="3:8" x14ac:dyDescent="0.2">
      <c r="C258" s="97" t="s">
        <v>89</v>
      </c>
    </row>
    <row r="259" spans="3:8" x14ac:dyDescent="0.2">
      <c r="C259" s="97" t="s">
        <v>90</v>
      </c>
    </row>
    <row r="261" spans="3:8" x14ac:dyDescent="0.2">
      <c r="C261" s="550" t="s">
        <v>92</v>
      </c>
    </row>
    <row r="262" spans="3:8" x14ac:dyDescent="0.2">
      <c r="C262" s="97" t="s">
        <v>99</v>
      </c>
    </row>
    <row r="264" spans="3:8" x14ac:dyDescent="0.2">
      <c r="C264" s="550" t="s">
        <v>140</v>
      </c>
    </row>
    <row r="265" spans="3:8" x14ac:dyDescent="0.2">
      <c r="C265" s="97" t="s">
        <v>141</v>
      </c>
    </row>
    <row r="266" spans="3:8" x14ac:dyDescent="0.2">
      <c r="C266" s="97" t="s">
        <v>718</v>
      </c>
    </row>
    <row r="267" spans="3:8" x14ac:dyDescent="0.2">
      <c r="C267" s="97" t="s">
        <v>316</v>
      </c>
      <c r="H267" s="4" t="s">
        <v>317</v>
      </c>
    </row>
    <row r="358" ht="11.25" customHeight="1" x14ac:dyDescent="0.2"/>
  </sheetData>
  <sheetProtection algorithmName="SHA-512" hashValue="KqlrCLfoISdaalYyqbyVEfsO+yuZBJXzrACuEblcoE8SS8y7z44FuTCoRw80NzXm/2jMUgDlYaXcmNWtRbvbJg==" saltValue="Lz13FprdtJlM3lusYnGhZw==" spinCount="100000" sheet="1" objects="1" scenarios="1"/>
  <phoneticPr fontId="0" type="noConversion"/>
  <hyperlinks>
    <hyperlink ref="H267" r:id="rId1"/>
  </hyperlinks>
  <pageMargins left="0.74803149606299213" right="0.74803149606299213" top="0.98425196850393704" bottom="0.98425196850393704" header="0.51181102362204722" footer="0.51181102362204722"/>
  <pageSetup paperSize="9" scale="67" orientation="portrait" r:id="rId2"/>
  <headerFooter alignWithMargins="0">
    <oddHeader>&amp;L&amp;"Arial,Vet"&amp;9&amp;F&amp;R&amp;"Arial,Vet"&amp;9&amp;A</oddHeader>
    <oddFooter>&amp;L&amp;"Arial,Vet"&amp;9be.keizer@wxs.nl&amp;C&amp;"Arial,Vet"&amp;9pagina &amp;P&amp;R&amp;"Arial,Vet"&amp;9&amp;D</oddFooter>
  </headerFooter>
  <rowBreaks count="4" manualBreakCount="4">
    <brk id="74" min="1" max="14" man="1"/>
    <brk id="150" min="1" max="14" man="1"/>
    <brk id="213" min="1" max="14" man="1"/>
    <brk id="271" min="2" max="14"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86"/>
  <sheetViews>
    <sheetView showGridLines="0" zoomScale="85" zoomScaleNormal="85" zoomScaleSheetLayoutView="85" workbookViewId="0">
      <selection activeCell="B2" sqref="B2"/>
    </sheetView>
  </sheetViews>
  <sheetFormatPr defaultRowHeight="12.75" x14ac:dyDescent="0.2"/>
  <cols>
    <col min="1" max="1" width="3.7109375" style="194" customWidth="1"/>
    <col min="2" max="3" width="2.7109375" style="194" customWidth="1"/>
    <col min="4" max="4" width="45.7109375" style="194" customWidth="1"/>
    <col min="5" max="5" width="0.85546875" style="194" customWidth="1"/>
    <col min="6" max="6" width="8.7109375" style="198" customWidth="1"/>
    <col min="7" max="7" width="2.7109375" style="194" customWidth="1"/>
    <col min="8" max="9" width="2.140625" style="194" customWidth="1"/>
    <col min="10" max="15" width="12.7109375" style="198" customWidth="1"/>
    <col min="16" max="17" width="2.7109375" style="194" customWidth="1"/>
    <col min="18" max="16384" width="9.140625" style="194"/>
  </cols>
  <sheetData>
    <row r="2" spans="1:19" x14ac:dyDescent="0.2">
      <c r="B2" s="72"/>
      <c r="C2" s="73"/>
      <c r="D2" s="73"/>
      <c r="E2" s="73"/>
      <c r="F2" s="74"/>
      <c r="G2" s="73"/>
      <c r="H2" s="73"/>
      <c r="I2" s="73"/>
      <c r="J2" s="74"/>
      <c r="K2" s="74"/>
      <c r="L2" s="74"/>
      <c r="M2" s="74"/>
      <c r="N2" s="74"/>
      <c r="O2" s="74"/>
      <c r="P2" s="73"/>
      <c r="Q2" s="75"/>
    </row>
    <row r="3" spans="1:19" x14ac:dyDescent="0.2">
      <c r="B3" s="76"/>
      <c r="C3" s="77"/>
      <c r="D3" s="57"/>
      <c r="E3" s="77"/>
      <c r="F3" s="70"/>
      <c r="G3" s="77"/>
      <c r="H3" s="77"/>
      <c r="I3" s="77"/>
      <c r="J3" s="70"/>
      <c r="K3" s="70"/>
      <c r="L3" s="70"/>
      <c r="M3" s="70"/>
      <c r="N3" s="70"/>
      <c r="O3" s="70"/>
      <c r="P3" s="77"/>
      <c r="Q3" s="78"/>
    </row>
    <row r="4" spans="1:19" s="168" customFormat="1" ht="18.75" x14ac:dyDescent="0.3">
      <c r="B4" s="175"/>
      <c r="C4" s="620" t="s">
        <v>67</v>
      </c>
      <c r="D4" s="177"/>
      <c r="E4" s="177"/>
      <c r="F4" s="178"/>
      <c r="G4" s="177"/>
      <c r="H4" s="177"/>
      <c r="I4" s="177"/>
      <c r="J4" s="178"/>
      <c r="K4" s="178"/>
      <c r="L4" s="178"/>
      <c r="M4" s="178"/>
      <c r="N4" s="178"/>
      <c r="O4" s="178"/>
      <c r="P4" s="177"/>
      <c r="Q4" s="179"/>
    </row>
    <row r="5" spans="1:19" s="169" customFormat="1" ht="18.75" x14ac:dyDescent="0.3">
      <c r="B5" s="26"/>
      <c r="C5" s="406" t="str">
        <f>+'geg LO'!C5</f>
        <v xml:space="preserve">SWV VO </v>
      </c>
      <c r="D5" s="58"/>
      <c r="E5" s="27"/>
      <c r="F5" s="180"/>
      <c r="G5" s="27"/>
      <c r="H5" s="27"/>
      <c r="I5" s="27"/>
      <c r="J5" s="180"/>
      <c r="K5" s="180"/>
      <c r="L5" s="180"/>
      <c r="M5" s="180"/>
      <c r="N5" s="180"/>
      <c r="O5" s="180"/>
      <c r="P5" s="27"/>
      <c r="Q5" s="28"/>
    </row>
    <row r="6" spans="1:19" x14ac:dyDescent="0.2">
      <c r="B6" s="76"/>
      <c r="C6" s="77"/>
      <c r="D6" s="57"/>
      <c r="E6" s="77"/>
      <c r="F6" s="70"/>
      <c r="G6" s="77"/>
      <c r="H6" s="77"/>
      <c r="I6" s="77"/>
      <c r="J6" s="70"/>
      <c r="K6" s="70"/>
      <c r="L6" s="70"/>
      <c r="M6" s="70"/>
      <c r="N6" s="70"/>
      <c r="O6" s="70"/>
      <c r="P6" s="77"/>
      <c r="Q6" s="78"/>
    </row>
    <row r="7" spans="1:19" x14ac:dyDescent="0.2">
      <c r="B7" s="76"/>
      <c r="C7" s="77"/>
      <c r="D7" s="57"/>
      <c r="E7" s="77"/>
      <c r="F7" s="70"/>
      <c r="G7" s="77"/>
      <c r="H7" s="616"/>
      <c r="I7" s="616"/>
      <c r="J7" s="70"/>
      <c r="K7" s="413"/>
      <c r="L7" s="70"/>
      <c r="M7" s="70"/>
      <c r="N7" s="70"/>
      <c r="O7" s="70"/>
      <c r="P7" s="77"/>
      <c r="Q7" s="78"/>
    </row>
    <row r="8" spans="1:19" s="213" customFormat="1" x14ac:dyDescent="0.2">
      <c r="B8" s="215"/>
      <c r="C8" s="216"/>
      <c r="D8" s="216"/>
      <c r="E8" s="216"/>
      <c r="F8" s="609" t="s">
        <v>163</v>
      </c>
      <c r="G8" s="610"/>
      <c r="H8" s="616"/>
      <c r="I8" s="616"/>
      <c r="J8" s="616">
        <f>tab!E4</f>
        <v>2015</v>
      </c>
      <c r="K8" s="616">
        <f>tab!F4</f>
        <v>2016</v>
      </c>
      <c r="L8" s="616">
        <f>tab!G4</f>
        <v>2017</v>
      </c>
      <c r="M8" s="616">
        <f>tab!H4</f>
        <v>2018</v>
      </c>
      <c r="N8" s="616">
        <f>tab!I4</f>
        <v>2019</v>
      </c>
      <c r="O8" s="616">
        <f>tab!J4</f>
        <v>2020</v>
      </c>
      <c r="P8" s="216"/>
      <c r="Q8" s="217"/>
      <c r="R8" s="212"/>
      <c r="S8" s="212"/>
    </row>
    <row r="9" spans="1:19" x14ac:dyDescent="0.2">
      <c r="B9" s="76"/>
      <c r="C9" s="77"/>
      <c r="D9" s="77"/>
      <c r="E9" s="77"/>
      <c r="F9" s="628"/>
      <c r="G9" s="610"/>
      <c r="H9" s="610"/>
      <c r="I9" s="610"/>
      <c r="J9" s="628"/>
      <c r="K9" s="628"/>
      <c r="L9" s="628"/>
      <c r="M9" s="628"/>
      <c r="N9" s="628"/>
      <c r="O9" s="628"/>
      <c r="P9" s="77"/>
      <c r="Q9" s="78"/>
      <c r="R9" s="110"/>
      <c r="S9" s="110"/>
    </row>
    <row r="10" spans="1:19" x14ac:dyDescent="0.2">
      <c r="A10" s="660"/>
      <c r="B10" s="76"/>
      <c r="C10" s="35"/>
      <c r="D10" s="37"/>
      <c r="E10" s="35"/>
      <c r="F10" s="186"/>
      <c r="G10" s="35"/>
      <c r="H10" s="1272"/>
      <c r="I10" s="1272"/>
      <c r="J10" s="186"/>
      <c r="K10" s="186"/>
      <c r="L10" s="186"/>
      <c r="M10" s="186"/>
      <c r="N10" s="186"/>
      <c r="O10" s="186"/>
      <c r="P10" s="35"/>
      <c r="Q10" s="78"/>
      <c r="R10" s="110"/>
      <c r="S10" s="110"/>
    </row>
    <row r="11" spans="1:19" x14ac:dyDescent="0.2">
      <c r="B11" s="76"/>
      <c r="C11" s="35"/>
      <c r="D11" s="604" t="s">
        <v>32</v>
      </c>
      <c r="E11" s="35"/>
      <c r="F11" s="186"/>
      <c r="G11" s="35"/>
      <c r="H11" s="1272"/>
      <c r="I11" s="1272"/>
      <c r="J11" s="186"/>
      <c r="K11" s="186"/>
      <c r="L11" s="186"/>
      <c r="M11" s="186"/>
      <c r="N11" s="186"/>
      <c r="O11" s="186"/>
      <c r="P11" s="35"/>
      <c r="Q11" s="78"/>
      <c r="R11" s="110"/>
      <c r="S11" s="110"/>
    </row>
    <row r="12" spans="1:19" x14ac:dyDescent="0.2">
      <c r="B12" s="76"/>
      <c r="C12" s="35"/>
      <c r="D12" s="37"/>
      <c r="E12" s="35"/>
      <c r="F12" s="186"/>
      <c r="G12" s="35"/>
      <c r="H12" s="1272"/>
      <c r="I12" s="1272"/>
      <c r="J12" s="186"/>
      <c r="K12" s="186"/>
      <c r="L12" s="186"/>
      <c r="M12" s="186"/>
      <c r="N12" s="186"/>
      <c r="O12" s="186"/>
      <c r="P12" s="35"/>
      <c r="Q12" s="78"/>
      <c r="R12" s="110"/>
      <c r="S12" s="110"/>
    </row>
    <row r="13" spans="1:19" x14ac:dyDescent="0.2">
      <c r="B13" s="76"/>
      <c r="C13" s="35"/>
      <c r="D13" s="199" t="s">
        <v>63</v>
      </c>
      <c r="E13" s="35"/>
      <c r="F13" s="186"/>
      <c r="G13" s="35"/>
      <c r="H13" s="1272"/>
      <c r="I13" s="1272"/>
      <c r="J13" s="186"/>
      <c r="K13" s="186"/>
      <c r="L13" s="186"/>
      <c r="M13" s="186"/>
      <c r="N13" s="186"/>
      <c r="O13" s="186"/>
      <c r="P13" s="35"/>
      <c r="Q13" s="78"/>
      <c r="R13" s="110"/>
      <c r="S13" s="110"/>
    </row>
    <row r="14" spans="1:19" x14ac:dyDescent="0.2">
      <c r="B14" s="76"/>
      <c r="C14" s="35"/>
      <c r="D14" s="38" t="s">
        <v>251</v>
      </c>
      <c r="E14" s="35"/>
      <c r="F14" s="186"/>
      <c r="G14" s="35"/>
      <c r="H14" s="1272"/>
      <c r="I14" s="1272"/>
      <c r="J14" s="186"/>
      <c r="K14" s="186"/>
      <c r="L14" s="186"/>
      <c r="M14" s="186"/>
      <c r="N14" s="186"/>
      <c r="O14" s="186"/>
      <c r="P14" s="35"/>
      <c r="Q14" s="78"/>
      <c r="R14" s="110"/>
      <c r="S14" s="110"/>
    </row>
    <row r="15" spans="1:19" x14ac:dyDescent="0.2">
      <c r="B15" s="76"/>
      <c r="C15" s="35"/>
      <c r="D15" s="191" t="s">
        <v>892</v>
      </c>
      <c r="E15" s="35"/>
      <c r="F15" s="186"/>
      <c r="G15" s="35"/>
      <c r="H15" s="668"/>
      <c r="I15" s="668"/>
      <c r="J15" s="68">
        <f>ROUND('geg LO'!G24*tab!$F16,0)*0</f>
        <v>0</v>
      </c>
      <c r="K15" s="68">
        <f>ROUND('geg LO'!H24*tab!$F16,0)</f>
        <v>0</v>
      </c>
      <c r="L15" s="68">
        <f>ROUND('geg LO'!I24*tab!$F16,0)</f>
        <v>0</v>
      </c>
      <c r="M15" s="68">
        <f>ROUND('geg LO'!J24*tab!$F16,0)</f>
        <v>0</v>
      </c>
      <c r="N15" s="68">
        <f>ROUND('geg LO'!K24*tab!$F16,0)</f>
        <v>0</v>
      </c>
      <c r="O15" s="68">
        <f>ROUND('geg LO'!L24*tab!$F16,0)</f>
        <v>0</v>
      </c>
      <c r="P15" s="35"/>
      <c r="Q15" s="78"/>
      <c r="R15" s="110"/>
      <c r="S15" s="110"/>
    </row>
    <row r="16" spans="1:19" x14ac:dyDescent="0.2">
      <c r="B16" s="989"/>
      <c r="C16" s="35"/>
      <c r="D16" s="191" t="s">
        <v>922</v>
      </c>
      <c r="E16" s="35"/>
      <c r="F16" s="186"/>
      <c r="G16" s="35"/>
      <c r="H16" s="668"/>
      <c r="I16" s="668"/>
      <c r="J16" s="668"/>
      <c r="K16" s="68">
        <f>IF('geg LO'!H32=0,0,+'geg LO'!H32*tab!F$24)</f>
        <v>0</v>
      </c>
      <c r="L16" s="68">
        <f>IF('geg LO'!I32=0,0,+'geg LO'!I32*tab!G$24)</f>
        <v>0</v>
      </c>
      <c r="M16" s="68">
        <f>IF('geg LO'!J32=0,0,+'geg LO'!J32*tab!H$24)</f>
        <v>0</v>
      </c>
      <c r="N16" s="68">
        <f>IF('geg LO'!K32=0,0,+'geg LO'!K32*tab!I$24)</f>
        <v>0</v>
      </c>
      <c r="O16" s="68">
        <f>IF('geg LO'!L32=0,0,+'geg LO'!L32*tab!J$24)</f>
        <v>0</v>
      </c>
      <c r="P16" s="35"/>
      <c r="Q16" s="78"/>
      <c r="R16" s="110"/>
      <c r="S16" s="110"/>
    </row>
    <row r="17" spans="2:19" x14ac:dyDescent="0.2">
      <c r="B17" s="989"/>
      <c r="C17" s="35"/>
      <c r="D17" s="191" t="s">
        <v>921</v>
      </c>
      <c r="E17" s="35"/>
      <c r="F17" s="186"/>
      <c r="G17" s="35"/>
      <c r="H17" s="668"/>
      <c r="I17" s="668"/>
      <c r="J17" s="668"/>
      <c r="K17" s="68">
        <f>+'geg LO'!H33*tab!F$24</f>
        <v>0</v>
      </c>
      <c r="L17" s="68">
        <f>+'geg LO'!I33*tab!G$24</f>
        <v>0</v>
      </c>
      <c r="M17" s="68">
        <f>+'geg LO'!J33*tab!H$24</f>
        <v>0</v>
      </c>
      <c r="N17" s="68">
        <f>+'geg LO'!K33*tab!I$24</f>
        <v>0</v>
      </c>
      <c r="O17" s="68">
        <f>+'geg LO'!L33*tab!J$24</f>
        <v>0</v>
      </c>
      <c r="P17" s="35"/>
      <c r="Q17" s="78"/>
      <c r="R17" s="110"/>
      <c r="S17" s="110"/>
    </row>
    <row r="18" spans="2:19" x14ac:dyDescent="0.2">
      <c r="B18" s="989"/>
      <c r="C18" s="35"/>
      <c r="D18" s="191" t="s">
        <v>935</v>
      </c>
      <c r="E18" s="35"/>
      <c r="F18" s="186"/>
      <c r="G18" s="35"/>
      <c r="H18" s="668"/>
      <c r="I18" s="668"/>
      <c r="J18" s="668"/>
      <c r="K18" s="68">
        <f>-'LWOO-PRO'!O36</f>
        <v>0</v>
      </c>
      <c r="L18" s="68">
        <f>-'LWOO-PRO'!P36</f>
        <v>0</v>
      </c>
      <c r="M18" s="68">
        <f>-'LWOO-PRO'!Q36</f>
        <v>0</v>
      </c>
      <c r="N18" s="68">
        <f>-'LWOO-PRO'!R36</f>
        <v>0</v>
      </c>
      <c r="O18" s="68">
        <f>-'LWOO-PRO'!S36</f>
        <v>0</v>
      </c>
      <c r="P18" s="35"/>
      <c r="Q18" s="78"/>
      <c r="R18" s="110"/>
      <c r="S18" s="110"/>
    </row>
    <row r="19" spans="2:19" x14ac:dyDescent="0.2">
      <c r="B19" s="76"/>
      <c r="C19" s="35"/>
      <c r="D19" s="199" t="s">
        <v>902</v>
      </c>
      <c r="E19" s="35"/>
      <c r="F19" s="186"/>
      <c r="G19" s="35"/>
      <c r="H19" s="662"/>
      <c r="I19" s="662"/>
      <c r="J19" s="659">
        <f>SUM(J15:J18)</f>
        <v>0</v>
      </c>
      <c r="K19" s="659">
        <f t="shared" ref="K19:O19" si="0">SUM(K15:K18)</f>
        <v>0</v>
      </c>
      <c r="L19" s="659">
        <f t="shared" si="0"/>
        <v>0</v>
      </c>
      <c r="M19" s="659">
        <f t="shared" si="0"/>
        <v>0</v>
      </c>
      <c r="N19" s="659">
        <f t="shared" si="0"/>
        <v>0</v>
      </c>
      <c r="O19" s="659">
        <f t="shared" si="0"/>
        <v>0</v>
      </c>
      <c r="P19" s="35"/>
      <c r="Q19" s="78"/>
      <c r="R19" s="110"/>
      <c r="S19" s="110"/>
    </row>
    <row r="20" spans="2:19" x14ac:dyDescent="0.2">
      <c r="B20" s="76"/>
      <c r="C20" s="35"/>
      <c r="D20" s="199"/>
      <c r="E20" s="35"/>
      <c r="F20" s="186"/>
      <c r="G20" s="35"/>
      <c r="H20" s="939"/>
      <c r="I20" s="939"/>
      <c r="J20" s="186"/>
      <c r="K20" s="415"/>
      <c r="L20" s="186"/>
      <c r="M20" s="186"/>
      <c r="N20" s="186"/>
      <c r="O20" s="186"/>
      <c r="P20" s="35"/>
      <c r="Q20" s="78"/>
      <c r="R20" s="110"/>
      <c r="S20" s="110"/>
    </row>
    <row r="21" spans="2:19" x14ac:dyDescent="0.2">
      <c r="B21" s="76"/>
      <c r="C21" s="35"/>
      <c r="D21" s="38" t="s">
        <v>117</v>
      </c>
      <c r="E21" s="35"/>
      <c r="F21" s="186"/>
      <c r="G21" s="35"/>
      <c r="H21" s="1272"/>
      <c r="I21" s="1272"/>
      <c r="J21" s="186"/>
      <c r="K21" s="186"/>
      <c r="L21" s="186"/>
      <c r="M21" s="186"/>
      <c r="N21" s="186"/>
      <c r="O21" s="186"/>
      <c r="P21" s="35"/>
      <c r="Q21" s="78"/>
      <c r="R21" s="110"/>
      <c r="S21" s="110"/>
    </row>
    <row r="22" spans="2:19" x14ac:dyDescent="0.2">
      <c r="B22" s="76"/>
      <c r="C22" s="35"/>
      <c r="D22" s="534"/>
      <c r="E22" s="35"/>
      <c r="F22" s="186"/>
      <c r="G22" s="35"/>
      <c r="H22" s="1268"/>
      <c r="I22" s="1268"/>
      <c r="J22" s="537">
        <v>0</v>
      </c>
      <c r="K22" s="537">
        <f t="shared" ref="K22:O22" si="1">+J22</f>
        <v>0</v>
      </c>
      <c r="L22" s="537">
        <f t="shared" si="1"/>
        <v>0</v>
      </c>
      <c r="M22" s="537">
        <f t="shared" si="1"/>
        <v>0</v>
      </c>
      <c r="N22" s="537">
        <f t="shared" si="1"/>
        <v>0</v>
      </c>
      <c r="O22" s="537">
        <f t="shared" si="1"/>
        <v>0</v>
      </c>
      <c r="P22" s="415"/>
      <c r="Q22" s="78"/>
      <c r="R22" s="110"/>
      <c r="S22" s="110"/>
    </row>
    <row r="23" spans="2:19" x14ac:dyDescent="0.2">
      <c r="B23" s="76"/>
      <c r="C23" s="35"/>
      <c r="D23" s="534"/>
      <c r="E23" s="35"/>
      <c r="F23" s="186"/>
      <c r="G23" s="35"/>
      <c r="H23" s="1268"/>
      <c r="I23" s="1268"/>
      <c r="J23" s="537">
        <v>0</v>
      </c>
      <c r="K23" s="537">
        <f t="shared" ref="K23:O25" si="2">+J23</f>
        <v>0</v>
      </c>
      <c r="L23" s="537">
        <f t="shared" si="2"/>
        <v>0</v>
      </c>
      <c r="M23" s="537">
        <f t="shared" si="2"/>
        <v>0</v>
      </c>
      <c r="N23" s="537">
        <f t="shared" si="2"/>
        <v>0</v>
      </c>
      <c r="O23" s="537">
        <f t="shared" si="2"/>
        <v>0</v>
      </c>
      <c r="P23" s="415"/>
      <c r="Q23" s="78"/>
      <c r="R23" s="110"/>
      <c r="S23" s="110"/>
    </row>
    <row r="24" spans="2:19" x14ac:dyDescent="0.2">
      <c r="B24" s="76"/>
      <c r="C24" s="35"/>
      <c r="D24" s="534"/>
      <c r="E24" s="35"/>
      <c r="F24" s="186"/>
      <c r="G24" s="35"/>
      <c r="H24" s="1268"/>
      <c r="I24" s="1268"/>
      <c r="J24" s="537">
        <v>0</v>
      </c>
      <c r="K24" s="537">
        <f t="shared" si="2"/>
        <v>0</v>
      </c>
      <c r="L24" s="537">
        <f t="shared" si="2"/>
        <v>0</v>
      </c>
      <c r="M24" s="537">
        <f t="shared" si="2"/>
        <v>0</v>
      </c>
      <c r="N24" s="537">
        <f t="shared" si="2"/>
        <v>0</v>
      </c>
      <c r="O24" s="537">
        <f t="shared" si="2"/>
        <v>0</v>
      </c>
      <c r="P24" s="415"/>
      <c r="Q24" s="78"/>
      <c r="R24" s="110"/>
      <c r="S24" s="110"/>
    </row>
    <row r="25" spans="2:19" x14ac:dyDescent="0.2">
      <c r="B25" s="76"/>
      <c r="C25" s="35"/>
      <c r="D25" s="571"/>
      <c r="E25" s="35"/>
      <c r="F25" s="186"/>
      <c r="G25" s="35"/>
      <c r="H25" s="1268"/>
      <c r="I25" s="1268"/>
      <c r="J25" s="537">
        <v>0</v>
      </c>
      <c r="K25" s="537">
        <f t="shared" si="2"/>
        <v>0</v>
      </c>
      <c r="L25" s="537">
        <f t="shared" si="2"/>
        <v>0</v>
      </c>
      <c r="M25" s="537">
        <f t="shared" si="2"/>
        <v>0</v>
      </c>
      <c r="N25" s="537">
        <f t="shared" si="2"/>
        <v>0</v>
      </c>
      <c r="O25" s="537">
        <f t="shared" si="2"/>
        <v>0</v>
      </c>
      <c r="P25" s="417"/>
      <c r="Q25" s="78"/>
      <c r="R25" s="110"/>
      <c r="S25" s="110"/>
    </row>
    <row r="26" spans="2:19" x14ac:dyDescent="0.2">
      <c r="B26" s="76"/>
      <c r="C26" s="35"/>
      <c r="D26" s="37"/>
      <c r="E26" s="35"/>
      <c r="F26" s="186"/>
      <c r="G26" s="35"/>
      <c r="H26" s="1270"/>
      <c r="I26" s="1270"/>
      <c r="J26" s="544">
        <f>SUM(J19:J25)</f>
        <v>0</v>
      </c>
      <c r="K26" s="544">
        <f>SUM(K22:K25)</f>
        <v>0</v>
      </c>
      <c r="L26" s="544">
        <f t="shared" ref="L26:O26" si="3">SUM(L22:L25)</f>
        <v>0</v>
      </c>
      <c r="M26" s="544">
        <f t="shared" si="3"/>
        <v>0</v>
      </c>
      <c r="N26" s="544">
        <f t="shared" si="3"/>
        <v>0</v>
      </c>
      <c r="O26" s="544">
        <f t="shared" si="3"/>
        <v>0</v>
      </c>
      <c r="P26" s="416"/>
      <c r="Q26" s="78"/>
      <c r="R26" s="110"/>
      <c r="S26" s="110"/>
    </row>
    <row r="27" spans="2:19" x14ac:dyDescent="0.2">
      <c r="B27" s="76"/>
      <c r="C27" s="35"/>
      <c r="D27" s="51"/>
      <c r="E27" s="40"/>
      <c r="F27" s="41"/>
      <c r="G27" s="40"/>
      <c r="H27" s="985"/>
      <c r="I27" s="985"/>
      <c r="J27" s="985"/>
      <c r="K27" s="985"/>
      <c r="L27" s="985"/>
      <c r="M27" s="985"/>
      <c r="N27" s="985"/>
      <c r="O27" s="985"/>
      <c r="P27" s="416"/>
      <c r="Q27" s="78"/>
      <c r="R27" s="110"/>
      <c r="S27" s="110"/>
    </row>
    <row r="28" spans="2:19" x14ac:dyDescent="0.2">
      <c r="B28" s="76"/>
      <c r="C28" s="35"/>
      <c r="D28" s="621" t="s">
        <v>654</v>
      </c>
      <c r="E28" s="40"/>
      <c r="F28" s="41"/>
      <c r="G28" s="40"/>
      <c r="H28" s="985"/>
      <c r="I28" s="985"/>
      <c r="J28" s="976">
        <f t="shared" ref="J28:O28" si="4">+J19+J26</f>
        <v>0</v>
      </c>
      <c r="K28" s="976">
        <f t="shared" si="4"/>
        <v>0</v>
      </c>
      <c r="L28" s="976">
        <f t="shared" si="4"/>
        <v>0</v>
      </c>
      <c r="M28" s="976">
        <f t="shared" si="4"/>
        <v>0</v>
      </c>
      <c r="N28" s="976">
        <f t="shared" si="4"/>
        <v>0</v>
      </c>
      <c r="O28" s="976">
        <f t="shared" si="4"/>
        <v>0</v>
      </c>
      <c r="P28" s="416"/>
      <c r="Q28" s="78"/>
      <c r="R28" s="110"/>
      <c r="S28" s="110"/>
    </row>
    <row r="29" spans="2:19" x14ac:dyDescent="0.2">
      <c r="B29" s="76"/>
      <c r="C29" s="35"/>
      <c r="D29" s="51"/>
      <c r="E29" s="40"/>
      <c r="F29" s="41"/>
      <c r="G29" s="986"/>
      <c r="H29" s="985"/>
      <c r="I29" s="985"/>
      <c r="J29" s="985"/>
      <c r="K29" s="985"/>
      <c r="L29" s="985"/>
      <c r="M29" s="985"/>
      <c r="N29" s="985"/>
      <c r="O29" s="985"/>
      <c r="P29" s="416"/>
      <c r="Q29" s="78"/>
      <c r="R29" s="110"/>
      <c r="S29" s="110"/>
    </row>
    <row r="30" spans="2:19" x14ac:dyDescent="0.2">
      <c r="B30" s="76"/>
      <c r="C30" s="35"/>
      <c r="D30" s="539"/>
      <c r="E30" s="540"/>
      <c r="F30" s="541"/>
      <c r="G30" s="540"/>
      <c r="H30" s="541"/>
      <c r="I30" s="541"/>
      <c r="J30" s="541"/>
      <c r="K30" s="541"/>
      <c r="L30" s="541"/>
      <c r="M30" s="541"/>
      <c r="N30" s="541"/>
      <c r="O30" s="541"/>
      <c r="P30" s="416"/>
      <c r="Q30" s="78"/>
      <c r="R30" s="110"/>
      <c r="S30" s="110"/>
    </row>
    <row r="31" spans="2:19" x14ac:dyDescent="0.2">
      <c r="B31" s="76"/>
      <c r="C31" s="35"/>
      <c r="D31" s="538"/>
      <c r="E31" s="508"/>
      <c r="F31" s="79"/>
      <c r="G31" s="508"/>
      <c r="H31" s="79"/>
      <c r="I31" s="79"/>
      <c r="J31" s="79"/>
      <c r="K31" s="79"/>
      <c r="L31" s="79"/>
      <c r="M31" s="79"/>
      <c r="N31" s="79"/>
      <c r="O31" s="79"/>
      <c r="P31" s="37"/>
      <c r="Q31" s="78"/>
      <c r="R31" s="110"/>
      <c r="S31" s="110"/>
    </row>
    <row r="32" spans="2:19" x14ac:dyDescent="0.2">
      <c r="B32" s="76"/>
      <c r="C32" s="191"/>
      <c r="D32" s="199" t="s">
        <v>64</v>
      </c>
      <c r="E32" s="191"/>
      <c r="F32" s="71"/>
      <c r="G32" s="191"/>
      <c r="H32" s="191"/>
      <c r="I32" s="191"/>
      <c r="J32" s="71"/>
      <c r="K32" s="71"/>
      <c r="L32" s="71"/>
      <c r="M32" s="71"/>
      <c r="N32" s="71"/>
      <c r="O32" s="71"/>
      <c r="P32" s="191"/>
      <c r="Q32" s="78"/>
      <c r="R32" s="110"/>
      <c r="S32" s="110"/>
    </row>
    <row r="33" spans="2:19" x14ac:dyDescent="0.2">
      <c r="B33" s="76"/>
      <c r="C33" s="191"/>
      <c r="D33" s="191" t="s">
        <v>426</v>
      </c>
      <c r="E33" s="191"/>
      <c r="F33" s="71"/>
      <c r="G33" s="191"/>
      <c r="H33" s="661"/>
      <c r="I33" s="661"/>
      <c r="J33" s="68">
        <f>ROUND('geg ZO'!J27*tab!E42,2)</f>
        <v>0</v>
      </c>
      <c r="K33" s="68">
        <f>ROUND('geg ZO'!K27*tab!$F42,2)</f>
        <v>0</v>
      </c>
      <c r="L33" s="68">
        <f>ROUND('geg ZO'!L27*tab!$F42,2)</f>
        <v>0</v>
      </c>
      <c r="M33" s="68">
        <f>ROUND('geg ZO'!M27*tab!$F42,2)</f>
        <v>0</v>
      </c>
      <c r="N33" s="68">
        <f>ROUND('geg ZO'!N27*tab!$F42,2)</f>
        <v>0</v>
      </c>
      <c r="O33" s="68">
        <f>ROUND('geg ZO'!O27*tab!$F42,2)</f>
        <v>0</v>
      </c>
      <c r="P33" s="191"/>
      <c r="Q33" s="78"/>
      <c r="R33" s="110"/>
      <c r="S33" s="110"/>
    </row>
    <row r="34" spans="2:19" x14ac:dyDescent="0.2">
      <c r="B34" s="989"/>
      <c r="C34" s="191"/>
      <c r="D34" s="191" t="s">
        <v>762</v>
      </c>
      <c r="E34" s="191"/>
      <c r="F34" s="71"/>
      <c r="G34" s="191"/>
      <c r="H34" s="661"/>
      <c r="I34" s="661"/>
      <c r="J34" s="68">
        <f>+'overdr VSO'!I23</f>
        <v>0</v>
      </c>
      <c r="K34" s="68">
        <f>+'overdr VSO'!J23</f>
        <v>0</v>
      </c>
      <c r="L34" s="68">
        <f>+'overdr VSO'!K23</f>
        <v>0</v>
      </c>
      <c r="M34" s="68">
        <f>+'overdr VSO'!L23</f>
        <v>0</v>
      </c>
      <c r="N34" s="68">
        <f>+'overdr VSO'!M23</f>
        <v>0</v>
      </c>
      <c r="O34" s="68">
        <f>+'overdr VSO'!N23</f>
        <v>0</v>
      </c>
      <c r="P34" s="191"/>
      <c r="Q34" s="883"/>
      <c r="R34" s="110"/>
      <c r="S34" s="110"/>
    </row>
    <row r="35" spans="2:19" x14ac:dyDescent="0.2">
      <c r="B35" s="989"/>
      <c r="C35" s="191"/>
      <c r="D35" s="191" t="s">
        <v>763</v>
      </c>
      <c r="E35" s="191"/>
      <c r="F35" s="71"/>
      <c r="G35" s="191"/>
      <c r="H35" s="661"/>
      <c r="I35" s="661"/>
      <c r="J35" s="68">
        <f>+'peild VSO'!G31</f>
        <v>0</v>
      </c>
      <c r="K35" s="68">
        <f>+'peild VSO'!H31</f>
        <v>0</v>
      </c>
      <c r="L35" s="68">
        <f>+'peild VSO'!I31</f>
        <v>0</v>
      </c>
      <c r="M35" s="68">
        <f>+'peild VSO'!J31</f>
        <v>0</v>
      </c>
      <c r="N35" s="68">
        <f>+'peild VSO'!K31</f>
        <v>0</v>
      </c>
      <c r="O35" s="68">
        <f>+'peild VSO'!L31</f>
        <v>0</v>
      </c>
      <c r="P35" s="191"/>
      <c r="Q35" s="883"/>
      <c r="R35" s="110"/>
      <c r="S35" s="110"/>
    </row>
    <row r="36" spans="2:19" x14ac:dyDescent="0.2">
      <c r="B36" s="76"/>
      <c r="C36" s="191"/>
      <c r="D36" s="191" t="s">
        <v>505</v>
      </c>
      <c r="E36" s="191"/>
      <c r="F36" s="71"/>
      <c r="G36" s="191"/>
      <c r="H36" s="668"/>
      <c r="I36" s="668"/>
      <c r="J36" s="222"/>
      <c r="K36" s="222"/>
      <c r="L36" s="222"/>
      <c r="M36" s="222"/>
      <c r="N36" s="222"/>
      <c r="O36" s="222"/>
      <c r="P36" s="191"/>
      <c r="Q36" s="78"/>
      <c r="R36" s="110"/>
      <c r="S36" s="110"/>
    </row>
    <row r="37" spans="2:19" x14ac:dyDescent="0.2">
      <c r="B37" s="76"/>
      <c r="C37" s="191"/>
      <c r="D37" s="191" t="s">
        <v>816</v>
      </c>
      <c r="E37" s="191"/>
      <c r="F37" s="71"/>
      <c r="G37" s="191"/>
      <c r="H37" s="668"/>
      <c r="I37" s="668"/>
      <c r="J37" s="222"/>
      <c r="K37" s="222"/>
      <c r="L37" s="222"/>
      <c r="M37" s="222"/>
      <c r="N37" s="222"/>
      <c r="O37" s="222"/>
      <c r="P37" s="191"/>
      <c r="Q37" s="78"/>
      <c r="R37" s="110"/>
      <c r="S37" s="110"/>
    </row>
    <row r="38" spans="2:19" x14ac:dyDescent="0.2">
      <c r="B38" s="76"/>
      <c r="C38" s="191"/>
      <c r="D38" s="191"/>
      <c r="E38" s="191"/>
      <c r="F38" s="71"/>
      <c r="G38" s="191"/>
      <c r="H38" s="668"/>
      <c r="I38" s="668"/>
      <c r="J38" s="222"/>
      <c r="K38" s="222"/>
      <c r="L38" s="222"/>
      <c r="M38" s="222"/>
      <c r="N38" s="222"/>
      <c r="O38" s="222"/>
      <c r="P38" s="191"/>
      <c r="Q38" s="78"/>
      <c r="R38" s="110"/>
      <c r="S38" s="110"/>
    </row>
    <row r="39" spans="2:19" x14ac:dyDescent="0.2">
      <c r="B39" s="76"/>
      <c r="C39" s="191"/>
      <c r="D39" s="38" t="s">
        <v>117</v>
      </c>
      <c r="E39" s="191"/>
      <c r="F39" s="71"/>
      <c r="G39" s="191"/>
      <c r="H39" s="668"/>
      <c r="I39" s="668"/>
      <c r="J39" s="71"/>
      <c r="K39" s="71"/>
      <c r="L39" s="71"/>
      <c r="M39" s="71"/>
      <c r="N39" s="71"/>
      <c r="O39" s="71"/>
      <c r="P39" s="191"/>
      <c r="Q39" s="78"/>
      <c r="R39" s="110"/>
      <c r="S39" s="110"/>
    </row>
    <row r="40" spans="2:19" x14ac:dyDescent="0.2">
      <c r="B40" s="76"/>
      <c r="C40" s="191"/>
      <c r="D40" s="191" t="s">
        <v>564</v>
      </c>
      <c r="E40" s="191"/>
      <c r="F40" s="71"/>
      <c r="G40" s="191"/>
      <c r="H40" s="987"/>
      <c r="I40" s="987"/>
      <c r="J40" s="885">
        <f>+tab!E59</f>
        <v>0</v>
      </c>
      <c r="K40" s="885">
        <f>+tab!F59</f>
        <v>0</v>
      </c>
      <c r="L40" s="885">
        <f>+tab!G59</f>
        <v>0</v>
      </c>
      <c r="M40" s="885">
        <f>+tab!H59</f>
        <v>0</v>
      </c>
      <c r="N40" s="885">
        <f>+tab!I59</f>
        <v>0</v>
      </c>
      <c r="O40" s="885">
        <f>+tab!J59</f>
        <v>0</v>
      </c>
      <c r="P40" s="222"/>
      <c r="Q40" s="78"/>
      <c r="R40" s="110"/>
      <c r="S40" s="110"/>
    </row>
    <row r="41" spans="2:19" x14ac:dyDescent="0.2">
      <c r="B41" s="76"/>
      <c r="C41" s="191"/>
      <c r="D41" s="535"/>
      <c r="E41" s="191"/>
      <c r="F41" s="71"/>
      <c r="G41" s="191"/>
      <c r="H41" s="1268"/>
      <c r="I41" s="1268"/>
      <c r="J41" s="537">
        <v>0</v>
      </c>
      <c r="K41" s="537">
        <f t="shared" ref="K41:O41" si="5">+J41</f>
        <v>0</v>
      </c>
      <c r="L41" s="537">
        <f t="shared" si="5"/>
        <v>0</v>
      </c>
      <c r="M41" s="537">
        <f t="shared" si="5"/>
        <v>0</v>
      </c>
      <c r="N41" s="537">
        <f t="shared" si="5"/>
        <v>0</v>
      </c>
      <c r="O41" s="537">
        <f t="shared" si="5"/>
        <v>0</v>
      </c>
      <c r="P41" s="222"/>
      <c r="Q41" s="883"/>
      <c r="R41" s="110"/>
      <c r="S41" s="110"/>
    </row>
    <row r="42" spans="2:19" x14ac:dyDescent="0.2">
      <c r="B42" s="76"/>
      <c r="C42" s="191"/>
      <c r="D42" s="535"/>
      <c r="E42" s="191"/>
      <c r="F42" s="71"/>
      <c r="G42" s="191"/>
      <c r="H42" s="1268"/>
      <c r="I42" s="1268"/>
      <c r="J42" s="537">
        <v>0</v>
      </c>
      <c r="K42" s="537">
        <f t="shared" ref="K42:O44" si="6">+J42</f>
        <v>0</v>
      </c>
      <c r="L42" s="537">
        <f t="shared" si="6"/>
        <v>0</v>
      </c>
      <c r="M42" s="537">
        <f t="shared" si="6"/>
        <v>0</v>
      </c>
      <c r="N42" s="537">
        <f t="shared" si="6"/>
        <v>0</v>
      </c>
      <c r="O42" s="537">
        <f t="shared" si="6"/>
        <v>0</v>
      </c>
      <c r="P42" s="222"/>
      <c r="Q42" s="78"/>
      <c r="R42" s="110"/>
      <c r="S42" s="110"/>
    </row>
    <row r="43" spans="2:19" s="196" customFormat="1" x14ac:dyDescent="0.2">
      <c r="B43" s="80"/>
      <c r="C43" s="191"/>
      <c r="D43" s="535"/>
      <c r="E43" s="191"/>
      <c r="F43" s="71"/>
      <c r="G43" s="191"/>
      <c r="H43" s="1268"/>
      <c r="I43" s="1268"/>
      <c r="J43" s="537">
        <v>0</v>
      </c>
      <c r="K43" s="537">
        <f t="shared" si="6"/>
        <v>0</v>
      </c>
      <c r="L43" s="537">
        <f t="shared" si="6"/>
        <v>0</v>
      </c>
      <c r="M43" s="537">
        <f t="shared" si="6"/>
        <v>0</v>
      </c>
      <c r="N43" s="537">
        <f t="shared" si="6"/>
        <v>0</v>
      </c>
      <c r="O43" s="537">
        <f t="shared" si="6"/>
        <v>0</v>
      </c>
      <c r="P43" s="222"/>
      <c r="Q43" s="91"/>
      <c r="R43" s="114"/>
      <c r="S43" s="114"/>
    </row>
    <row r="44" spans="2:19" x14ac:dyDescent="0.2">
      <c r="B44" s="76"/>
      <c r="C44" s="191"/>
      <c r="D44" s="600"/>
      <c r="E44" s="191"/>
      <c r="F44" s="71"/>
      <c r="G44" s="191"/>
      <c r="H44" s="1268"/>
      <c r="I44" s="1268"/>
      <c r="J44" s="537">
        <v>0</v>
      </c>
      <c r="K44" s="537">
        <f t="shared" si="6"/>
        <v>0</v>
      </c>
      <c r="L44" s="537">
        <f t="shared" si="6"/>
        <v>0</v>
      </c>
      <c r="M44" s="537">
        <f t="shared" si="6"/>
        <v>0</v>
      </c>
      <c r="N44" s="537">
        <f t="shared" si="6"/>
        <v>0</v>
      </c>
      <c r="O44" s="537">
        <f t="shared" si="6"/>
        <v>0</v>
      </c>
      <c r="P44" s="417"/>
      <c r="Q44" s="78"/>
      <c r="R44" s="110"/>
      <c r="S44" s="110"/>
    </row>
    <row r="45" spans="2:19" x14ac:dyDescent="0.2">
      <c r="B45" s="76"/>
      <c r="C45" s="191"/>
      <c r="D45" s="621" t="s">
        <v>656</v>
      </c>
      <c r="E45" s="191"/>
      <c r="F45" s="71"/>
      <c r="G45" s="191"/>
      <c r="H45" s="1270"/>
      <c r="I45" s="1270"/>
      <c r="J45" s="544">
        <f t="shared" ref="J45:O45" si="7">SUM(J33:J44)</f>
        <v>0</v>
      </c>
      <c r="K45" s="544">
        <f t="shared" si="7"/>
        <v>0</v>
      </c>
      <c r="L45" s="544">
        <f t="shared" si="7"/>
        <v>0</v>
      </c>
      <c r="M45" s="544">
        <f t="shared" si="7"/>
        <v>0</v>
      </c>
      <c r="N45" s="544">
        <f t="shared" si="7"/>
        <v>0</v>
      </c>
      <c r="O45" s="544">
        <f t="shared" si="7"/>
        <v>0</v>
      </c>
      <c r="P45" s="418"/>
      <c r="Q45" s="78"/>
      <c r="R45" s="110"/>
      <c r="S45" s="110"/>
    </row>
    <row r="46" spans="2:19" s="196" customFormat="1" x14ac:dyDescent="0.2">
      <c r="B46" s="80"/>
      <c r="C46" s="191"/>
      <c r="D46" s="539"/>
      <c r="E46" s="540"/>
      <c r="F46" s="541"/>
      <c r="G46" s="540"/>
      <c r="H46" s="541"/>
      <c r="I46" s="541"/>
      <c r="J46" s="541"/>
      <c r="K46" s="541"/>
      <c r="L46" s="541"/>
      <c r="M46" s="541"/>
      <c r="N46" s="541"/>
      <c r="O46" s="541"/>
      <c r="P46" s="199"/>
      <c r="Q46" s="91"/>
      <c r="R46" s="114"/>
      <c r="S46" s="114"/>
    </row>
    <row r="47" spans="2:19" s="196" customFormat="1" x14ac:dyDescent="0.2">
      <c r="B47" s="80"/>
      <c r="C47" s="191"/>
      <c r="D47" s="538"/>
      <c r="E47" s="508"/>
      <c r="F47" s="79"/>
      <c r="G47" s="508"/>
      <c r="H47" s="79"/>
      <c r="I47" s="79"/>
      <c r="J47" s="79"/>
      <c r="K47" s="79"/>
      <c r="L47" s="79"/>
      <c r="M47" s="79"/>
      <c r="N47" s="79"/>
      <c r="O47" s="79"/>
      <c r="P47" s="199"/>
      <c r="Q47" s="91"/>
      <c r="R47" s="114"/>
      <c r="S47" s="114"/>
    </row>
    <row r="48" spans="2:19" s="196" customFormat="1" x14ac:dyDescent="0.2">
      <c r="B48" s="80"/>
      <c r="C48" s="191"/>
      <c r="D48" s="199" t="s">
        <v>657</v>
      </c>
      <c r="E48" s="35"/>
      <c r="F48" s="186"/>
      <c r="G48" s="35"/>
      <c r="H48" s="959"/>
      <c r="I48" s="959"/>
      <c r="J48" s="545">
        <f t="shared" ref="J48:O48" si="8">J28+J45</f>
        <v>0</v>
      </c>
      <c r="K48" s="545">
        <f t="shared" si="8"/>
        <v>0</v>
      </c>
      <c r="L48" s="545">
        <f t="shared" si="8"/>
        <v>0</v>
      </c>
      <c r="M48" s="545">
        <f t="shared" si="8"/>
        <v>0</v>
      </c>
      <c r="N48" s="545">
        <f t="shared" si="8"/>
        <v>0</v>
      </c>
      <c r="O48" s="545">
        <f t="shared" si="8"/>
        <v>0</v>
      </c>
      <c r="P48" s="199"/>
      <c r="Q48" s="91"/>
      <c r="R48" s="114"/>
      <c r="S48" s="114"/>
    </row>
    <row r="49" spans="2:19" s="196" customFormat="1" x14ac:dyDescent="0.2">
      <c r="B49" s="80"/>
      <c r="C49" s="191"/>
      <c r="D49" s="199"/>
      <c r="E49" s="191"/>
      <c r="F49" s="71"/>
      <c r="G49" s="191"/>
      <c r="H49" s="191"/>
      <c r="I49" s="191"/>
      <c r="J49" s="199"/>
      <c r="K49" s="199"/>
      <c r="L49" s="199"/>
      <c r="M49" s="199"/>
      <c r="N49" s="199"/>
      <c r="O49" s="199"/>
      <c r="P49" s="199"/>
      <c r="Q49" s="91"/>
      <c r="R49" s="114"/>
      <c r="S49" s="114"/>
    </row>
    <row r="50" spans="2:19" x14ac:dyDescent="0.2">
      <c r="B50" s="76"/>
      <c r="C50" s="77"/>
      <c r="D50" s="77"/>
      <c r="E50" s="77"/>
      <c r="F50" s="70"/>
      <c r="G50" s="77"/>
      <c r="H50" s="77"/>
      <c r="I50" s="77"/>
      <c r="J50" s="70"/>
      <c r="K50" s="70"/>
      <c r="L50" s="70"/>
      <c r="M50" s="70"/>
      <c r="N50" s="70"/>
      <c r="O50" s="70"/>
      <c r="P50" s="77"/>
      <c r="Q50" s="78"/>
      <c r="R50" s="110"/>
      <c r="S50" s="110"/>
    </row>
    <row r="51" spans="2:19" x14ac:dyDescent="0.2">
      <c r="B51" s="76"/>
      <c r="C51" s="191"/>
      <c r="D51" s="199"/>
      <c r="E51" s="191"/>
      <c r="F51" s="71"/>
      <c r="G51" s="191"/>
      <c r="H51" s="191"/>
      <c r="I51" s="191"/>
      <c r="J51" s="71"/>
      <c r="K51" s="71"/>
      <c r="L51" s="71"/>
      <c r="M51" s="71"/>
      <c r="N51" s="71"/>
      <c r="O51" s="71"/>
      <c r="P51" s="191"/>
      <c r="Q51" s="78"/>
      <c r="R51" s="110"/>
      <c r="S51" s="110"/>
    </row>
    <row r="52" spans="2:19" x14ac:dyDescent="0.2">
      <c r="B52" s="76"/>
      <c r="C52" s="191"/>
      <c r="D52" s="604" t="s">
        <v>195</v>
      </c>
      <c r="E52" s="191"/>
      <c r="F52" s="71"/>
      <c r="G52" s="191"/>
      <c r="H52" s="191"/>
      <c r="I52" s="191"/>
      <c r="J52" s="71"/>
      <c r="K52" s="71"/>
      <c r="L52" s="71"/>
      <c r="M52" s="71"/>
      <c r="N52" s="71"/>
      <c r="O52" s="71"/>
      <c r="P52" s="191"/>
      <c r="Q52" s="78"/>
      <c r="R52" s="110"/>
      <c r="S52" s="110"/>
    </row>
    <row r="53" spans="2:19" x14ac:dyDescent="0.2">
      <c r="B53" s="76"/>
      <c r="C53" s="191"/>
      <c r="D53" s="199"/>
      <c r="E53" s="191"/>
      <c r="F53" s="71"/>
      <c r="G53" s="191"/>
      <c r="H53" s="191"/>
      <c r="I53" s="191"/>
      <c r="J53" s="71"/>
      <c r="K53" s="71"/>
      <c r="L53" s="71"/>
      <c r="M53" s="71"/>
      <c r="N53" s="71"/>
      <c r="O53" s="71"/>
      <c r="P53" s="191"/>
      <c r="Q53" s="78"/>
      <c r="R53" s="110"/>
      <c r="S53" s="110"/>
    </row>
    <row r="54" spans="2:19" x14ac:dyDescent="0.2">
      <c r="B54" s="76"/>
      <c r="C54" s="191"/>
      <c r="D54" s="199" t="s">
        <v>63</v>
      </c>
      <c r="E54" s="191"/>
      <c r="F54" s="71"/>
      <c r="G54" s="191"/>
      <c r="H54" s="191"/>
      <c r="I54" s="191"/>
      <c r="J54" s="71"/>
      <c r="K54" s="71"/>
      <c r="L54" s="71"/>
      <c r="M54" s="71"/>
      <c r="N54" s="71"/>
      <c r="O54" s="71"/>
      <c r="P54" s="191"/>
      <c r="Q54" s="78"/>
      <c r="R54" s="110"/>
      <c r="S54" s="110"/>
    </row>
    <row r="55" spans="2:19" x14ac:dyDescent="0.2">
      <c r="B55" s="76"/>
      <c r="C55" s="191"/>
      <c r="D55" s="535" t="s">
        <v>131</v>
      </c>
      <c r="E55" s="191"/>
      <c r="F55" s="71"/>
      <c r="G55" s="191"/>
      <c r="H55" s="1271"/>
      <c r="I55" s="1271"/>
      <c r="J55" s="67">
        <v>0</v>
      </c>
      <c r="K55" s="67">
        <f t="shared" ref="K55:O55" si="9">+J55</f>
        <v>0</v>
      </c>
      <c r="L55" s="67">
        <f t="shared" si="9"/>
        <v>0</v>
      </c>
      <c r="M55" s="67">
        <f t="shared" si="9"/>
        <v>0</v>
      </c>
      <c r="N55" s="67">
        <f t="shared" si="9"/>
        <v>0</v>
      </c>
      <c r="O55" s="67">
        <f t="shared" si="9"/>
        <v>0</v>
      </c>
      <c r="P55" s="222"/>
      <c r="Q55" s="78"/>
      <c r="R55" s="110"/>
      <c r="S55" s="110"/>
    </row>
    <row r="56" spans="2:19" s="196" customFormat="1" x14ac:dyDescent="0.2">
      <c r="B56" s="80"/>
      <c r="C56" s="191"/>
      <c r="D56" s="535"/>
      <c r="E56" s="191"/>
      <c r="F56" s="71"/>
      <c r="G56" s="191"/>
      <c r="H56" s="1271"/>
      <c r="I56" s="1271"/>
      <c r="J56" s="67">
        <v>0</v>
      </c>
      <c r="K56" s="67">
        <f t="shared" ref="K56:O57" si="10">+J56</f>
        <v>0</v>
      </c>
      <c r="L56" s="67">
        <f t="shared" si="10"/>
        <v>0</v>
      </c>
      <c r="M56" s="67">
        <f t="shared" si="10"/>
        <v>0</v>
      </c>
      <c r="N56" s="67">
        <f t="shared" si="10"/>
        <v>0</v>
      </c>
      <c r="O56" s="67">
        <f t="shared" si="10"/>
        <v>0</v>
      </c>
      <c r="P56" s="222"/>
      <c r="Q56" s="91"/>
      <c r="R56" s="114"/>
      <c r="S56" s="114"/>
    </row>
    <row r="57" spans="2:19" x14ac:dyDescent="0.2">
      <c r="B57" s="76"/>
      <c r="C57" s="191"/>
      <c r="D57" s="535"/>
      <c r="E57" s="191"/>
      <c r="F57" s="71"/>
      <c r="G57" s="191"/>
      <c r="H57" s="1271"/>
      <c r="I57" s="1271"/>
      <c r="J57" s="67">
        <v>0</v>
      </c>
      <c r="K57" s="67">
        <f t="shared" si="10"/>
        <v>0</v>
      </c>
      <c r="L57" s="67">
        <f t="shared" si="10"/>
        <v>0</v>
      </c>
      <c r="M57" s="67">
        <f t="shared" si="10"/>
        <v>0</v>
      </c>
      <c r="N57" s="67">
        <f t="shared" si="10"/>
        <v>0</v>
      </c>
      <c r="O57" s="67">
        <f t="shared" si="10"/>
        <v>0</v>
      </c>
      <c r="P57" s="222"/>
      <c r="Q57" s="78"/>
      <c r="R57" s="110"/>
      <c r="S57" s="110"/>
    </row>
    <row r="58" spans="2:19" x14ac:dyDescent="0.2">
      <c r="B58" s="76"/>
      <c r="C58" s="191"/>
      <c r="D58" s="199"/>
      <c r="E58" s="191"/>
      <c r="F58" s="71"/>
      <c r="G58" s="191"/>
      <c r="H58" s="1270"/>
      <c r="I58" s="1270"/>
      <c r="J58" s="544">
        <f t="shared" ref="J58:O58" si="11">SUM(J55:J57)</f>
        <v>0</v>
      </c>
      <c r="K58" s="544">
        <f t="shared" si="11"/>
        <v>0</v>
      </c>
      <c r="L58" s="544">
        <f t="shared" si="11"/>
        <v>0</v>
      </c>
      <c r="M58" s="544">
        <f t="shared" si="11"/>
        <v>0</v>
      </c>
      <c r="N58" s="544">
        <f t="shared" si="11"/>
        <v>0</v>
      </c>
      <c r="O58" s="544">
        <f t="shared" si="11"/>
        <v>0</v>
      </c>
      <c r="P58" s="222"/>
      <c r="Q58" s="78"/>
      <c r="R58" s="110"/>
      <c r="S58" s="110"/>
    </row>
    <row r="59" spans="2:19" x14ac:dyDescent="0.2">
      <c r="B59" s="76"/>
      <c r="C59" s="191"/>
      <c r="D59" s="539"/>
      <c r="E59" s="540"/>
      <c r="F59" s="541"/>
      <c r="G59" s="540"/>
      <c r="H59" s="541"/>
      <c r="I59" s="541"/>
      <c r="J59" s="541"/>
      <c r="K59" s="541"/>
      <c r="L59" s="541"/>
      <c r="M59" s="541"/>
      <c r="N59" s="541"/>
      <c r="O59" s="541"/>
      <c r="P59" s="71"/>
      <c r="Q59" s="78"/>
      <c r="R59" s="110"/>
      <c r="S59" s="110"/>
    </row>
    <row r="60" spans="2:19" x14ac:dyDescent="0.2">
      <c r="B60" s="76"/>
      <c r="C60" s="191"/>
      <c r="D60" s="538"/>
      <c r="E60" s="508"/>
      <c r="F60" s="79"/>
      <c r="G60" s="508"/>
      <c r="H60" s="79"/>
      <c r="I60" s="79"/>
      <c r="J60" s="79"/>
      <c r="K60" s="79"/>
      <c r="L60" s="79"/>
      <c r="M60" s="79"/>
      <c r="N60" s="79"/>
      <c r="O60" s="79"/>
      <c r="P60" s="71"/>
      <c r="Q60" s="78"/>
      <c r="R60" s="110"/>
      <c r="S60" s="110"/>
    </row>
    <row r="61" spans="2:19" x14ac:dyDescent="0.2">
      <c r="B61" s="76"/>
      <c r="C61" s="191"/>
      <c r="D61" s="199" t="s">
        <v>64</v>
      </c>
      <c r="E61" s="35"/>
      <c r="F61" s="186"/>
      <c r="G61" s="35"/>
      <c r="H61" s="186"/>
      <c r="I61" s="186"/>
      <c r="J61" s="186"/>
      <c r="K61" s="186"/>
      <c r="L61" s="186"/>
      <c r="M61" s="186"/>
      <c r="N61" s="186"/>
      <c r="O61" s="186"/>
      <c r="P61" s="71"/>
      <c r="Q61" s="78"/>
      <c r="R61" s="110"/>
      <c r="S61" s="110"/>
    </row>
    <row r="62" spans="2:19" x14ac:dyDescent="0.2">
      <c r="B62" s="76"/>
      <c r="C62" s="191"/>
      <c r="D62" s="535" t="s">
        <v>131</v>
      </c>
      <c r="E62" s="191"/>
      <c r="F62" s="71"/>
      <c r="G62" s="191"/>
      <c r="H62" s="1271"/>
      <c r="I62" s="1271"/>
      <c r="J62" s="67">
        <v>0</v>
      </c>
      <c r="K62" s="67">
        <f t="shared" ref="K62:O62" si="12">+J62</f>
        <v>0</v>
      </c>
      <c r="L62" s="67">
        <f t="shared" si="12"/>
        <v>0</v>
      </c>
      <c r="M62" s="67">
        <f t="shared" si="12"/>
        <v>0</v>
      </c>
      <c r="N62" s="67">
        <f t="shared" si="12"/>
        <v>0</v>
      </c>
      <c r="O62" s="67">
        <f t="shared" si="12"/>
        <v>0</v>
      </c>
      <c r="P62" s="71"/>
      <c r="Q62" s="78"/>
      <c r="R62" s="110"/>
      <c r="S62" s="110"/>
    </row>
    <row r="63" spans="2:19" x14ac:dyDescent="0.2">
      <c r="B63" s="76"/>
      <c r="C63" s="191"/>
      <c r="D63" s="535"/>
      <c r="E63" s="191"/>
      <c r="F63" s="71"/>
      <c r="G63" s="191"/>
      <c r="H63" s="1271"/>
      <c r="I63" s="1271"/>
      <c r="J63" s="67">
        <v>0</v>
      </c>
      <c r="K63" s="67">
        <f t="shared" ref="K63:O64" si="13">+J63</f>
        <v>0</v>
      </c>
      <c r="L63" s="67">
        <f t="shared" si="13"/>
        <v>0</v>
      </c>
      <c r="M63" s="67">
        <f t="shared" si="13"/>
        <v>0</v>
      </c>
      <c r="N63" s="67">
        <f t="shared" si="13"/>
        <v>0</v>
      </c>
      <c r="O63" s="67">
        <f t="shared" si="13"/>
        <v>0</v>
      </c>
      <c r="P63" s="71"/>
      <c r="Q63" s="78"/>
      <c r="R63" s="110"/>
      <c r="S63" s="110"/>
    </row>
    <row r="64" spans="2:19" x14ac:dyDescent="0.2">
      <c r="B64" s="76"/>
      <c r="C64" s="191"/>
      <c r="D64" s="535"/>
      <c r="E64" s="191"/>
      <c r="F64" s="71"/>
      <c r="G64" s="191"/>
      <c r="H64" s="1271"/>
      <c r="I64" s="1271"/>
      <c r="J64" s="67">
        <v>0</v>
      </c>
      <c r="K64" s="67">
        <f t="shared" si="13"/>
        <v>0</v>
      </c>
      <c r="L64" s="67">
        <f t="shared" si="13"/>
        <v>0</v>
      </c>
      <c r="M64" s="67">
        <f t="shared" si="13"/>
        <v>0</v>
      </c>
      <c r="N64" s="67">
        <f t="shared" si="13"/>
        <v>0</v>
      </c>
      <c r="O64" s="67">
        <f t="shared" si="13"/>
        <v>0</v>
      </c>
      <c r="P64" s="71"/>
      <c r="Q64" s="78"/>
      <c r="R64" s="110"/>
      <c r="S64" s="110"/>
    </row>
    <row r="65" spans="2:19" x14ac:dyDescent="0.2">
      <c r="B65" s="76"/>
      <c r="C65" s="191"/>
      <c r="D65" s="199"/>
      <c r="E65" s="191"/>
      <c r="F65" s="71"/>
      <c r="G65" s="191"/>
      <c r="H65" s="1270"/>
      <c r="I65" s="1270"/>
      <c r="J65" s="544">
        <f t="shared" ref="J65:O65" si="14">SUM(J62:J64)</f>
        <v>0</v>
      </c>
      <c r="K65" s="544">
        <f t="shared" si="14"/>
        <v>0</v>
      </c>
      <c r="L65" s="544">
        <f t="shared" si="14"/>
        <v>0</v>
      </c>
      <c r="M65" s="544">
        <f t="shared" si="14"/>
        <v>0</v>
      </c>
      <c r="N65" s="544">
        <f t="shared" si="14"/>
        <v>0</v>
      </c>
      <c r="O65" s="544">
        <f t="shared" si="14"/>
        <v>0</v>
      </c>
      <c r="P65" s="71"/>
      <c r="Q65" s="78"/>
      <c r="R65" s="110"/>
      <c r="S65" s="110"/>
    </row>
    <row r="66" spans="2:19" x14ac:dyDescent="0.2">
      <c r="B66" s="76"/>
      <c r="C66" s="191"/>
      <c r="D66" s="539"/>
      <c r="E66" s="540"/>
      <c r="F66" s="541"/>
      <c r="G66" s="540"/>
      <c r="H66" s="541"/>
      <c r="I66" s="541"/>
      <c r="J66" s="541"/>
      <c r="K66" s="541"/>
      <c r="L66" s="541"/>
      <c r="M66" s="541"/>
      <c r="N66" s="541"/>
      <c r="O66" s="541"/>
      <c r="P66" s="71"/>
      <c r="Q66" s="78"/>
      <c r="R66" s="110"/>
      <c r="S66" s="110"/>
    </row>
    <row r="67" spans="2:19" x14ac:dyDescent="0.2">
      <c r="B67" s="76"/>
      <c r="C67" s="191"/>
      <c r="D67" s="538"/>
      <c r="E67" s="508"/>
      <c r="F67" s="79"/>
      <c r="G67" s="508"/>
      <c r="H67" s="79"/>
      <c r="I67" s="79"/>
      <c r="J67" s="79"/>
      <c r="K67" s="79"/>
      <c r="L67" s="79"/>
      <c r="M67" s="79"/>
      <c r="N67" s="79"/>
      <c r="O67" s="79"/>
      <c r="P67" s="71"/>
      <c r="Q67" s="78"/>
      <c r="R67" s="110"/>
      <c r="S67" s="110"/>
    </row>
    <row r="68" spans="2:19" x14ac:dyDescent="0.2">
      <c r="B68" s="76"/>
      <c r="C68" s="191"/>
      <c r="D68" s="199" t="s">
        <v>158</v>
      </c>
      <c r="E68" s="191"/>
      <c r="F68" s="71"/>
      <c r="G68" s="191"/>
      <c r="H68" s="959"/>
      <c r="I68" s="959"/>
      <c r="J68" s="545">
        <f t="shared" ref="J68:O68" si="15">J58+J65</f>
        <v>0</v>
      </c>
      <c r="K68" s="545">
        <f t="shared" si="15"/>
        <v>0</v>
      </c>
      <c r="L68" s="545">
        <f t="shared" si="15"/>
        <v>0</v>
      </c>
      <c r="M68" s="545">
        <f t="shared" si="15"/>
        <v>0</v>
      </c>
      <c r="N68" s="545">
        <f t="shared" si="15"/>
        <v>0</v>
      </c>
      <c r="O68" s="545">
        <f t="shared" si="15"/>
        <v>0</v>
      </c>
      <c r="P68" s="418"/>
      <c r="Q68" s="78"/>
      <c r="R68" s="110"/>
      <c r="S68" s="110"/>
    </row>
    <row r="69" spans="2:19" x14ac:dyDescent="0.2">
      <c r="B69" s="76"/>
      <c r="C69" s="191"/>
      <c r="D69" s="199"/>
      <c r="E69" s="191"/>
      <c r="F69" s="71"/>
      <c r="G69" s="191"/>
      <c r="H69" s="661"/>
      <c r="I69" s="661"/>
      <c r="J69" s="71"/>
      <c r="K69" s="71"/>
      <c r="L69" s="71"/>
      <c r="M69" s="71"/>
      <c r="N69" s="71"/>
      <c r="O69" s="71"/>
      <c r="P69" s="191"/>
      <c r="Q69" s="78"/>
      <c r="R69" s="110"/>
      <c r="S69" s="110"/>
    </row>
    <row r="70" spans="2:19" x14ac:dyDescent="0.2">
      <c r="B70" s="76"/>
      <c r="C70" s="77"/>
      <c r="D70" s="77"/>
      <c r="E70" s="77"/>
      <c r="F70" s="70"/>
      <c r="G70" s="77"/>
      <c r="H70" s="77"/>
      <c r="I70" s="77"/>
      <c r="J70" s="70"/>
      <c r="K70" s="70"/>
      <c r="L70" s="70"/>
      <c r="M70" s="70"/>
      <c r="N70" s="70"/>
      <c r="O70" s="70"/>
      <c r="P70" s="77"/>
      <c r="Q70" s="78"/>
      <c r="R70" s="110"/>
      <c r="S70" s="110"/>
    </row>
    <row r="71" spans="2:19" x14ac:dyDescent="0.2">
      <c r="B71" s="76"/>
      <c r="C71" s="191"/>
      <c r="D71" s="199"/>
      <c r="E71" s="191"/>
      <c r="F71" s="71"/>
      <c r="G71" s="191"/>
      <c r="H71" s="191"/>
      <c r="I71" s="191"/>
      <c r="J71" s="71"/>
      <c r="K71" s="71"/>
      <c r="L71" s="71"/>
      <c r="M71" s="71"/>
      <c r="N71" s="71"/>
      <c r="O71" s="71"/>
      <c r="P71" s="191"/>
      <c r="Q71" s="78"/>
      <c r="R71" s="110"/>
      <c r="S71" s="110"/>
    </row>
    <row r="72" spans="2:19" x14ac:dyDescent="0.2">
      <c r="B72" s="76"/>
      <c r="C72" s="191"/>
      <c r="D72" s="604" t="s">
        <v>196</v>
      </c>
      <c r="E72" s="191"/>
      <c r="F72" s="71"/>
      <c r="G72" s="191"/>
      <c r="H72" s="191"/>
      <c r="I72" s="191"/>
      <c r="J72" s="71"/>
      <c r="K72" s="71"/>
      <c r="L72" s="71"/>
      <c r="M72" s="71"/>
      <c r="N72" s="71"/>
      <c r="O72" s="71"/>
      <c r="P72" s="191"/>
      <c r="Q72" s="78"/>
      <c r="R72" s="110"/>
      <c r="S72" s="110"/>
    </row>
    <row r="73" spans="2:19" x14ac:dyDescent="0.2">
      <c r="B73" s="76"/>
      <c r="C73" s="191"/>
      <c r="D73" s="199"/>
      <c r="E73" s="191"/>
      <c r="F73" s="71"/>
      <c r="G73" s="191"/>
      <c r="H73" s="661"/>
      <c r="I73" s="661"/>
      <c r="J73" s="71"/>
      <c r="K73" s="71"/>
      <c r="L73" s="71"/>
      <c r="M73" s="71"/>
      <c r="N73" s="71"/>
      <c r="O73" s="71"/>
      <c r="P73" s="191"/>
      <c r="Q73" s="78"/>
      <c r="R73" s="110"/>
      <c r="S73" s="110"/>
    </row>
    <row r="74" spans="2:19" x14ac:dyDescent="0.2">
      <c r="B74" s="76"/>
      <c r="C74" s="191"/>
      <c r="D74" s="199" t="s">
        <v>63</v>
      </c>
      <c r="E74" s="191"/>
      <c r="F74" s="191"/>
      <c r="G74" s="191"/>
      <c r="H74" s="661"/>
      <c r="I74" s="661"/>
      <c r="J74" s="191"/>
      <c r="K74" s="191"/>
      <c r="L74" s="191"/>
      <c r="M74" s="191"/>
      <c r="N74" s="191"/>
      <c r="O74" s="191"/>
      <c r="P74" s="222"/>
      <c r="Q74" s="78"/>
      <c r="R74" s="110"/>
      <c r="S74" s="110"/>
    </row>
    <row r="75" spans="2:19" x14ac:dyDescent="0.2">
      <c r="B75" s="76"/>
      <c r="C75" s="191"/>
      <c r="D75" s="191" t="s">
        <v>197</v>
      </c>
      <c r="E75" s="191"/>
      <c r="F75" s="71"/>
      <c r="G75" s="191"/>
      <c r="H75" s="1271"/>
      <c r="I75" s="1271"/>
      <c r="J75" s="67">
        <v>0</v>
      </c>
      <c r="K75" s="67">
        <f t="shared" ref="K75:K80" si="16">+J75</f>
        <v>0</v>
      </c>
      <c r="L75" s="67">
        <f t="shared" ref="L75:L80" si="17">+K75</f>
        <v>0</v>
      </c>
      <c r="M75" s="67">
        <f t="shared" ref="M75:M80" si="18">+L75</f>
        <v>0</v>
      </c>
      <c r="N75" s="67">
        <f t="shared" ref="N75:N80" si="19">+M75</f>
        <v>0</v>
      </c>
      <c r="O75" s="67">
        <f t="shared" ref="O75:O80" si="20">+N75</f>
        <v>0</v>
      </c>
      <c r="P75" s="222"/>
      <c r="Q75" s="78"/>
      <c r="R75" s="110"/>
      <c r="S75" s="110"/>
    </row>
    <row r="76" spans="2:19" x14ac:dyDescent="0.2">
      <c r="B76" s="76"/>
      <c r="C76" s="191"/>
      <c r="D76" s="535"/>
      <c r="E76" s="191"/>
      <c r="F76" s="71"/>
      <c r="G76" s="191"/>
      <c r="H76" s="1271"/>
      <c r="I76" s="1271"/>
      <c r="J76" s="67">
        <v>0</v>
      </c>
      <c r="K76" s="67">
        <f t="shared" si="16"/>
        <v>0</v>
      </c>
      <c r="L76" s="67">
        <f t="shared" si="17"/>
        <v>0</v>
      </c>
      <c r="M76" s="67">
        <f t="shared" si="18"/>
        <v>0</v>
      </c>
      <c r="N76" s="67">
        <f t="shared" si="19"/>
        <v>0</v>
      </c>
      <c r="O76" s="67">
        <f t="shared" si="20"/>
        <v>0</v>
      </c>
      <c r="P76" s="222"/>
      <c r="Q76" s="78"/>
      <c r="R76" s="110"/>
      <c r="S76" s="110"/>
    </row>
    <row r="77" spans="2:19" x14ac:dyDescent="0.2">
      <c r="B77" s="76"/>
      <c r="C77" s="191"/>
      <c r="D77" s="535"/>
      <c r="E77" s="191"/>
      <c r="F77" s="71"/>
      <c r="G77" s="191"/>
      <c r="H77" s="1271"/>
      <c r="I77" s="1271"/>
      <c r="J77" s="67">
        <v>0</v>
      </c>
      <c r="K77" s="67">
        <f t="shared" si="16"/>
        <v>0</v>
      </c>
      <c r="L77" s="67">
        <f t="shared" si="17"/>
        <v>0</v>
      </c>
      <c r="M77" s="67">
        <f t="shared" si="18"/>
        <v>0</v>
      </c>
      <c r="N77" s="67">
        <f t="shared" si="19"/>
        <v>0</v>
      </c>
      <c r="O77" s="67">
        <f t="shared" si="20"/>
        <v>0</v>
      </c>
      <c r="P77" s="222"/>
      <c r="Q77" s="78"/>
      <c r="R77" s="110"/>
      <c r="S77" s="110"/>
    </row>
    <row r="78" spans="2:19" x14ac:dyDescent="0.2">
      <c r="B78" s="76"/>
      <c r="C78" s="191"/>
      <c r="D78" s="535"/>
      <c r="E78" s="191"/>
      <c r="F78" s="71"/>
      <c r="G78" s="191"/>
      <c r="H78" s="1271"/>
      <c r="I78" s="1271"/>
      <c r="J78" s="67">
        <v>0</v>
      </c>
      <c r="K78" s="67">
        <f t="shared" si="16"/>
        <v>0</v>
      </c>
      <c r="L78" s="67">
        <f t="shared" si="17"/>
        <v>0</v>
      </c>
      <c r="M78" s="67">
        <f t="shared" si="18"/>
        <v>0</v>
      </c>
      <c r="N78" s="67">
        <f t="shared" si="19"/>
        <v>0</v>
      </c>
      <c r="O78" s="67">
        <f t="shared" si="20"/>
        <v>0</v>
      </c>
      <c r="P78" s="222"/>
      <c r="Q78" s="78"/>
      <c r="R78" s="110"/>
      <c r="S78" s="110"/>
    </row>
    <row r="79" spans="2:19" x14ac:dyDescent="0.2">
      <c r="B79" s="76"/>
      <c r="C79" s="191"/>
      <c r="D79" s="535"/>
      <c r="E79" s="191"/>
      <c r="F79" s="71"/>
      <c r="G79" s="191"/>
      <c r="H79" s="1271"/>
      <c r="I79" s="1271"/>
      <c r="J79" s="67">
        <v>0</v>
      </c>
      <c r="K79" s="67">
        <f t="shared" si="16"/>
        <v>0</v>
      </c>
      <c r="L79" s="67">
        <f t="shared" si="17"/>
        <v>0</v>
      </c>
      <c r="M79" s="67">
        <f t="shared" si="18"/>
        <v>0</v>
      </c>
      <c r="N79" s="67">
        <f t="shared" si="19"/>
        <v>0</v>
      </c>
      <c r="O79" s="67">
        <f t="shared" si="20"/>
        <v>0</v>
      </c>
      <c r="P79" s="222"/>
      <c r="Q79" s="78"/>
      <c r="R79" s="110"/>
      <c r="S79" s="110"/>
    </row>
    <row r="80" spans="2:19" x14ac:dyDescent="0.2">
      <c r="B80" s="76"/>
      <c r="C80" s="191"/>
      <c r="D80" s="535"/>
      <c r="E80" s="191"/>
      <c r="F80" s="71"/>
      <c r="G80" s="191"/>
      <c r="H80" s="1271"/>
      <c r="I80" s="1271"/>
      <c r="J80" s="67">
        <v>0</v>
      </c>
      <c r="K80" s="67">
        <f t="shared" si="16"/>
        <v>0</v>
      </c>
      <c r="L80" s="67">
        <f t="shared" si="17"/>
        <v>0</v>
      </c>
      <c r="M80" s="67">
        <f t="shared" si="18"/>
        <v>0</v>
      </c>
      <c r="N80" s="67">
        <f t="shared" si="19"/>
        <v>0</v>
      </c>
      <c r="O80" s="67">
        <f t="shared" si="20"/>
        <v>0</v>
      </c>
      <c r="P80" s="222"/>
      <c r="Q80" s="78"/>
      <c r="R80" s="110"/>
      <c r="S80" s="110"/>
    </row>
    <row r="81" spans="2:19" x14ac:dyDescent="0.2">
      <c r="B81" s="76"/>
      <c r="C81" s="191"/>
      <c r="D81" s="199"/>
      <c r="E81" s="191"/>
      <c r="F81" s="71"/>
      <c r="G81" s="191"/>
      <c r="H81" s="959"/>
      <c r="I81" s="959"/>
      <c r="J81" s="545">
        <f t="shared" ref="J81:O81" si="21">SUM(J75:J80)</f>
        <v>0</v>
      </c>
      <c r="K81" s="545">
        <f t="shared" si="21"/>
        <v>0</v>
      </c>
      <c r="L81" s="545">
        <f t="shared" si="21"/>
        <v>0</v>
      </c>
      <c r="M81" s="545">
        <f t="shared" si="21"/>
        <v>0</v>
      </c>
      <c r="N81" s="545">
        <f t="shared" si="21"/>
        <v>0</v>
      </c>
      <c r="O81" s="545">
        <f t="shared" si="21"/>
        <v>0</v>
      </c>
      <c r="P81" s="191"/>
      <c r="Q81" s="78"/>
      <c r="R81" s="110"/>
      <c r="S81" s="110"/>
    </row>
    <row r="82" spans="2:19" x14ac:dyDescent="0.2">
      <c r="B82" s="76"/>
      <c r="C82" s="191"/>
      <c r="D82" s="539"/>
      <c r="E82" s="540"/>
      <c r="F82" s="541"/>
      <c r="G82" s="540"/>
      <c r="H82" s="541"/>
      <c r="I82" s="541"/>
      <c r="J82" s="541"/>
      <c r="K82" s="541"/>
      <c r="L82" s="541"/>
      <c r="M82" s="541"/>
      <c r="N82" s="541"/>
      <c r="O82" s="541"/>
      <c r="P82" s="191"/>
      <c r="Q82" s="78"/>
      <c r="R82" s="110"/>
      <c r="S82" s="110"/>
    </row>
    <row r="83" spans="2:19" x14ac:dyDescent="0.2">
      <c r="B83" s="76"/>
      <c r="C83" s="191"/>
      <c r="D83" s="538"/>
      <c r="E83" s="508"/>
      <c r="F83" s="79"/>
      <c r="G83" s="508"/>
      <c r="H83" s="79"/>
      <c r="I83" s="79"/>
      <c r="J83" s="79"/>
      <c r="K83" s="79"/>
      <c r="L83" s="79"/>
      <c r="M83" s="79"/>
      <c r="N83" s="79"/>
      <c r="O83" s="79"/>
      <c r="P83" s="191"/>
      <c r="Q83" s="78"/>
      <c r="R83" s="110"/>
      <c r="S83" s="110"/>
    </row>
    <row r="84" spans="2:19" x14ac:dyDescent="0.2">
      <c r="B84" s="76"/>
      <c r="C84" s="191"/>
      <c r="D84" s="199" t="s">
        <v>64</v>
      </c>
      <c r="E84" s="191"/>
      <c r="F84" s="71"/>
      <c r="G84" s="191"/>
      <c r="H84" s="1273"/>
      <c r="I84" s="1273"/>
      <c r="J84" s="589"/>
      <c r="K84" s="589"/>
      <c r="L84" s="589"/>
      <c r="M84" s="589"/>
      <c r="N84" s="589"/>
      <c r="O84" s="589"/>
      <c r="P84" s="191"/>
      <c r="Q84" s="78"/>
      <c r="R84" s="110"/>
      <c r="S84" s="110"/>
    </row>
    <row r="85" spans="2:19" x14ac:dyDescent="0.2">
      <c r="B85" s="76"/>
      <c r="C85" s="191"/>
      <c r="D85" s="35" t="s">
        <v>197</v>
      </c>
      <c r="E85" s="191"/>
      <c r="F85" s="71"/>
      <c r="G85" s="191"/>
      <c r="H85" s="1271"/>
      <c r="I85" s="1271"/>
      <c r="J85" s="67">
        <v>0</v>
      </c>
      <c r="K85" s="67">
        <f t="shared" ref="K85:O85" si="22">+J85</f>
        <v>0</v>
      </c>
      <c r="L85" s="67">
        <f t="shared" si="22"/>
        <v>0</v>
      </c>
      <c r="M85" s="67">
        <f t="shared" si="22"/>
        <v>0</v>
      </c>
      <c r="N85" s="67">
        <f t="shared" si="22"/>
        <v>0</v>
      </c>
      <c r="O85" s="67">
        <f t="shared" si="22"/>
        <v>0</v>
      </c>
      <c r="P85" s="191"/>
      <c r="Q85" s="78"/>
      <c r="R85" s="110"/>
      <c r="S85" s="110"/>
    </row>
    <row r="86" spans="2:19" x14ac:dyDescent="0.2">
      <c r="B86" s="76"/>
      <c r="C86" s="191"/>
      <c r="D86" s="535" t="s">
        <v>198</v>
      </c>
      <c r="E86" s="191"/>
      <c r="F86" s="71"/>
      <c r="G86" s="191"/>
      <c r="H86" s="1271"/>
      <c r="I86" s="1271"/>
      <c r="J86" s="67">
        <v>0</v>
      </c>
      <c r="K86" s="67">
        <f t="shared" ref="K86:O86" si="23">+J86</f>
        <v>0</v>
      </c>
      <c r="L86" s="67">
        <f t="shared" si="23"/>
        <v>0</v>
      </c>
      <c r="M86" s="67">
        <f t="shared" si="23"/>
        <v>0</v>
      </c>
      <c r="N86" s="67">
        <f t="shared" si="23"/>
        <v>0</v>
      </c>
      <c r="O86" s="67">
        <f t="shared" si="23"/>
        <v>0</v>
      </c>
      <c r="P86" s="191"/>
      <c r="Q86" s="78"/>
      <c r="R86" s="110"/>
      <c r="S86" s="110"/>
    </row>
    <row r="87" spans="2:19" x14ac:dyDescent="0.2">
      <c r="B87" s="76"/>
      <c r="C87" s="191"/>
      <c r="D87" s="535"/>
      <c r="E87" s="191"/>
      <c r="F87" s="71"/>
      <c r="G87" s="191"/>
      <c r="H87" s="1271"/>
      <c r="I87" s="1271"/>
      <c r="J87" s="67">
        <v>0</v>
      </c>
      <c r="K87" s="67">
        <f t="shared" ref="K87:O87" si="24">+J87</f>
        <v>0</v>
      </c>
      <c r="L87" s="67">
        <f t="shared" si="24"/>
        <v>0</v>
      </c>
      <c r="M87" s="67">
        <f t="shared" si="24"/>
        <v>0</v>
      </c>
      <c r="N87" s="67">
        <f t="shared" si="24"/>
        <v>0</v>
      </c>
      <c r="O87" s="67">
        <f t="shared" si="24"/>
        <v>0</v>
      </c>
      <c r="P87" s="191"/>
      <c r="Q87" s="78"/>
      <c r="R87" s="110"/>
      <c r="S87" s="110"/>
    </row>
    <row r="88" spans="2:19" x14ac:dyDescent="0.2">
      <c r="B88" s="76"/>
      <c r="C88" s="191"/>
      <c r="D88" s="535"/>
      <c r="E88" s="191"/>
      <c r="F88" s="71"/>
      <c r="G88" s="191"/>
      <c r="H88" s="1271"/>
      <c r="I88" s="1271"/>
      <c r="J88" s="67">
        <v>0</v>
      </c>
      <c r="K88" s="67">
        <f t="shared" ref="K88:O88" si="25">+J88</f>
        <v>0</v>
      </c>
      <c r="L88" s="67">
        <f t="shared" si="25"/>
        <v>0</v>
      </c>
      <c r="M88" s="67">
        <f t="shared" si="25"/>
        <v>0</v>
      </c>
      <c r="N88" s="67">
        <f t="shared" si="25"/>
        <v>0</v>
      </c>
      <c r="O88" s="67">
        <f t="shared" si="25"/>
        <v>0</v>
      </c>
      <c r="P88" s="191"/>
      <c r="Q88" s="78"/>
      <c r="R88" s="110"/>
      <c r="S88" s="110"/>
    </row>
    <row r="89" spans="2:19" x14ac:dyDescent="0.2">
      <c r="B89" s="76"/>
      <c r="C89" s="191"/>
      <c r="D89" s="535"/>
      <c r="E89" s="191"/>
      <c r="F89" s="71"/>
      <c r="G89" s="191"/>
      <c r="H89" s="1271"/>
      <c r="I89" s="1271"/>
      <c r="J89" s="67">
        <v>0</v>
      </c>
      <c r="K89" s="67">
        <f t="shared" ref="K89:O89" si="26">+J89</f>
        <v>0</v>
      </c>
      <c r="L89" s="67">
        <f t="shared" si="26"/>
        <v>0</v>
      </c>
      <c r="M89" s="67">
        <f t="shared" si="26"/>
        <v>0</v>
      </c>
      <c r="N89" s="67">
        <f t="shared" si="26"/>
        <v>0</v>
      </c>
      <c r="O89" s="67">
        <f t="shared" si="26"/>
        <v>0</v>
      </c>
      <c r="P89" s="191"/>
      <c r="Q89" s="78"/>
      <c r="R89" s="110"/>
      <c r="S89" s="110"/>
    </row>
    <row r="90" spans="2:19" x14ac:dyDescent="0.2">
      <c r="B90" s="76"/>
      <c r="C90" s="191"/>
      <c r="D90" s="535"/>
      <c r="E90" s="191"/>
      <c r="F90" s="71"/>
      <c r="G90" s="191"/>
      <c r="H90" s="1271"/>
      <c r="I90" s="1271"/>
      <c r="J90" s="67">
        <v>0</v>
      </c>
      <c r="K90" s="67">
        <f t="shared" ref="K90:O90" si="27">+J90</f>
        <v>0</v>
      </c>
      <c r="L90" s="67">
        <f t="shared" si="27"/>
        <v>0</v>
      </c>
      <c r="M90" s="67">
        <f t="shared" si="27"/>
        <v>0</v>
      </c>
      <c r="N90" s="67">
        <f t="shared" si="27"/>
        <v>0</v>
      </c>
      <c r="O90" s="67">
        <f t="shared" si="27"/>
        <v>0</v>
      </c>
      <c r="P90" s="191"/>
      <c r="Q90" s="78"/>
      <c r="R90" s="110"/>
      <c r="S90" s="110"/>
    </row>
    <row r="91" spans="2:19" x14ac:dyDescent="0.2">
      <c r="B91" s="76"/>
      <c r="C91" s="191"/>
      <c r="D91" s="199" t="s">
        <v>158</v>
      </c>
      <c r="E91" s="191"/>
      <c r="F91" s="71"/>
      <c r="G91" s="191"/>
      <c r="H91" s="959"/>
      <c r="I91" s="959"/>
      <c r="J91" s="545">
        <f t="shared" ref="J91:O91" si="28">SUM(J85:J90)</f>
        <v>0</v>
      </c>
      <c r="K91" s="545">
        <f t="shared" si="28"/>
        <v>0</v>
      </c>
      <c r="L91" s="545">
        <f t="shared" si="28"/>
        <v>0</v>
      </c>
      <c r="M91" s="545">
        <f t="shared" si="28"/>
        <v>0</v>
      </c>
      <c r="N91" s="545">
        <f t="shared" si="28"/>
        <v>0</v>
      </c>
      <c r="O91" s="545">
        <f t="shared" si="28"/>
        <v>0</v>
      </c>
      <c r="P91" s="191"/>
      <c r="Q91" s="78"/>
      <c r="R91" s="110"/>
      <c r="S91" s="110"/>
    </row>
    <row r="92" spans="2:19" x14ac:dyDescent="0.2">
      <c r="B92" s="76"/>
      <c r="C92" s="191"/>
      <c r="D92" s="539"/>
      <c r="E92" s="540"/>
      <c r="F92" s="541"/>
      <c r="G92" s="540"/>
      <c r="H92" s="541"/>
      <c r="I92" s="541"/>
      <c r="J92" s="541"/>
      <c r="K92" s="541"/>
      <c r="L92" s="541"/>
      <c r="M92" s="541"/>
      <c r="N92" s="541"/>
      <c r="O92" s="541"/>
      <c r="P92" s="191"/>
      <c r="Q92" s="78"/>
      <c r="R92" s="110"/>
      <c r="S92" s="110"/>
    </row>
    <row r="93" spans="2:19" x14ac:dyDescent="0.2">
      <c r="B93" s="76"/>
      <c r="C93" s="191"/>
      <c r="D93" s="538"/>
      <c r="E93" s="508"/>
      <c r="F93" s="79"/>
      <c r="G93" s="508"/>
      <c r="H93" s="79"/>
      <c r="I93" s="79"/>
      <c r="J93" s="79"/>
      <c r="K93" s="79"/>
      <c r="L93" s="79"/>
      <c r="M93" s="79"/>
      <c r="N93" s="79"/>
      <c r="O93" s="79"/>
      <c r="P93" s="191"/>
      <c r="Q93" s="78"/>
      <c r="R93" s="110"/>
      <c r="S93" s="110"/>
    </row>
    <row r="94" spans="2:19" x14ac:dyDescent="0.2">
      <c r="B94" s="76"/>
      <c r="C94" s="191"/>
      <c r="D94" s="199" t="s">
        <v>158</v>
      </c>
      <c r="E94" s="191"/>
      <c r="F94" s="71"/>
      <c r="G94" s="191"/>
      <c r="H94" s="959"/>
      <c r="I94" s="959"/>
      <c r="J94" s="545">
        <f t="shared" ref="J94:O94" si="29">J81+J91</f>
        <v>0</v>
      </c>
      <c r="K94" s="545">
        <f t="shared" si="29"/>
        <v>0</v>
      </c>
      <c r="L94" s="545">
        <f t="shared" si="29"/>
        <v>0</v>
      </c>
      <c r="M94" s="545">
        <f t="shared" si="29"/>
        <v>0</v>
      </c>
      <c r="N94" s="545">
        <f t="shared" si="29"/>
        <v>0</v>
      </c>
      <c r="O94" s="545">
        <f t="shared" si="29"/>
        <v>0</v>
      </c>
      <c r="P94" s="191"/>
      <c r="Q94" s="78"/>
      <c r="R94" s="110"/>
      <c r="S94" s="110"/>
    </row>
    <row r="95" spans="2:19" x14ac:dyDescent="0.2">
      <c r="B95" s="76"/>
      <c r="C95" s="191"/>
      <c r="D95" s="199"/>
      <c r="E95" s="191"/>
      <c r="F95" s="71"/>
      <c r="G95" s="191"/>
      <c r="H95" s="191"/>
      <c r="I95" s="191"/>
      <c r="J95" s="71"/>
      <c r="K95" s="71"/>
      <c r="L95" s="71"/>
      <c r="M95" s="71"/>
      <c r="N95" s="71"/>
      <c r="O95" s="71"/>
      <c r="P95" s="191"/>
      <c r="Q95" s="78"/>
      <c r="R95" s="110"/>
      <c r="S95" s="110"/>
    </row>
    <row r="96" spans="2:19" x14ac:dyDescent="0.2">
      <c r="B96" s="76"/>
      <c r="C96" s="77"/>
      <c r="D96" s="77"/>
      <c r="E96" s="77"/>
      <c r="F96" s="70"/>
      <c r="G96" s="77"/>
      <c r="H96" s="77"/>
      <c r="I96" s="77"/>
      <c r="J96" s="70"/>
      <c r="K96" s="70"/>
      <c r="L96" s="70"/>
      <c r="M96" s="70"/>
      <c r="N96" s="70"/>
      <c r="O96" s="70"/>
      <c r="P96" s="77"/>
      <c r="Q96" s="78"/>
      <c r="R96" s="110"/>
      <c r="S96" s="110"/>
    </row>
    <row r="97" spans="2:19" x14ac:dyDescent="0.2">
      <c r="B97" s="76"/>
      <c r="C97" s="191"/>
      <c r="D97" s="199"/>
      <c r="E97" s="191"/>
      <c r="F97" s="71"/>
      <c r="G97" s="191"/>
      <c r="H97" s="191"/>
      <c r="I97" s="191"/>
      <c r="J97" s="71"/>
      <c r="K97" s="71"/>
      <c r="L97" s="71"/>
      <c r="M97" s="71"/>
      <c r="N97" s="71"/>
      <c r="O97" s="71"/>
      <c r="P97" s="191"/>
      <c r="Q97" s="78"/>
      <c r="R97" s="110"/>
      <c r="S97" s="110"/>
    </row>
    <row r="98" spans="2:19" x14ac:dyDescent="0.2">
      <c r="B98" s="76"/>
      <c r="C98" s="191"/>
      <c r="D98" s="199" t="s">
        <v>207</v>
      </c>
      <c r="E98" s="191"/>
      <c r="F98" s="71"/>
      <c r="G98" s="191"/>
      <c r="H98" s="959"/>
      <c r="I98" s="959"/>
      <c r="J98" s="545">
        <f t="shared" ref="J98:O98" si="30">J48+J68+J94</f>
        <v>0</v>
      </c>
      <c r="K98" s="545">
        <f t="shared" si="30"/>
        <v>0</v>
      </c>
      <c r="L98" s="545">
        <f t="shared" si="30"/>
        <v>0</v>
      </c>
      <c r="M98" s="545">
        <f t="shared" si="30"/>
        <v>0</v>
      </c>
      <c r="N98" s="545">
        <f t="shared" si="30"/>
        <v>0</v>
      </c>
      <c r="O98" s="545">
        <f t="shared" si="30"/>
        <v>0</v>
      </c>
      <c r="P98" s="191"/>
      <c r="Q98" s="78"/>
      <c r="R98" s="110"/>
      <c r="S98" s="110"/>
    </row>
    <row r="99" spans="2:19" x14ac:dyDescent="0.2">
      <c r="B99" s="76"/>
      <c r="C99" s="191"/>
      <c r="D99" s="199"/>
      <c r="E99" s="191"/>
      <c r="F99" s="71"/>
      <c r="G99" s="191"/>
      <c r="H99" s="191"/>
      <c r="I99" s="191"/>
      <c r="J99" s="71"/>
      <c r="K99" s="71"/>
      <c r="L99" s="71"/>
      <c r="M99" s="71"/>
      <c r="N99" s="71"/>
      <c r="O99" s="71"/>
      <c r="P99" s="191"/>
      <c r="Q99" s="78"/>
      <c r="R99" s="110"/>
      <c r="S99" s="110"/>
    </row>
    <row r="100" spans="2:19" x14ac:dyDescent="0.2">
      <c r="B100" s="76"/>
      <c r="C100" s="77"/>
      <c r="D100" s="77"/>
      <c r="E100" s="77"/>
      <c r="F100" s="70"/>
      <c r="G100" s="77"/>
      <c r="H100" s="77"/>
      <c r="I100" s="77"/>
      <c r="J100" s="70"/>
      <c r="K100" s="70"/>
      <c r="L100" s="70"/>
      <c r="M100" s="70"/>
      <c r="N100" s="70"/>
      <c r="O100" s="70"/>
      <c r="P100" s="77"/>
      <c r="Q100" s="78"/>
      <c r="R100" s="110"/>
      <c r="S100" s="110"/>
    </row>
    <row r="101" spans="2:19" x14ac:dyDescent="0.2">
      <c r="B101" s="86"/>
      <c r="C101" s="83"/>
      <c r="D101" s="83"/>
      <c r="E101" s="83"/>
      <c r="F101" s="84"/>
      <c r="G101" s="83"/>
      <c r="H101" s="83"/>
      <c r="I101" s="83"/>
      <c r="J101" s="84"/>
      <c r="K101" s="84"/>
      <c r="L101" s="84"/>
      <c r="M101" s="84"/>
      <c r="N101" s="84"/>
      <c r="O101" s="84"/>
      <c r="P101" s="83"/>
      <c r="Q101" s="85"/>
      <c r="R101" s="110"/>
      <c r="S101" s="110"/>
    </row>
    <row r="102" spans="2:19" x14ac:dyDescent="0.2">
      <c r="B102" s="72"/>
      <c r="C102" s="73"/>
      <c r="D102" s="73"/>
      <c r="E102" s="73"/>
      <c r="F102" s="74"/>
      <c r="G102" s="73"/>
      <c r="H102" s="73"/>
      <c r="I102" s="73"/>
      <c r="J102" s="74"/>
      <c r="K102" s="74"/>
      <c r="L102" s="74"/>
      <c r="M102" s="74"/>
      <c r="N102" s="74"/>
      <c r="O102" s="74"/>
      <c r="P102" s="73"/>
      <c r="Q102" s="75"/>
      <c r="R102" s="110"/>
      <c r="S102" s="110"/>
    </row>
    <row r="103" spans="2:19" x14ac:dyDescent="0.2">
      <c r="B103" s="76"/>
      <c r="C103" s="77"/>
      <c r="D103" s="77"/>
      <c r="E103" s="77"/>
      <c r="F103" s="70"/>
      <c r="G103" s="77"/>
      <c r="H103" s="77"/>
      <c r="I103" s="77"/>
      <c r="J103" s="70"/>
      <c r="K103" s="70"/>
      <c r="L103" s="70"/>
      <c r="M103" s="70"/>
      <c r="N103" s="70"/>
      <c r="O103" s="70"/>
      <c r="P103" s="77"/>
      <c r="Q103" s="78"/>
      <c r="R103" s="110"/>
      <c r="S103" s="110"/>
    </row>
    <row r="104" spans="2:19" x14ac:dyDescent="0.2">
      <c r="B104" s="76"/>
      <c r="C104" s="77"/>
      <c r="D104" s="77"/>
      <c r="E104" s="77"/>
      <c r="F104" s="70"/>
      <c r="G104" s="77"/>
      <c r="H104" s="616"/>
      <c r="I104" s="616"/>
      <c r="J104" s="616">
        <f t="shared" ref="J104:O104" si="31">J8</f>
        <v>2015</v>
      </c>
      <c r="K104" s="616">
        <f t="shared" si="31"/>
        <v>2016</v>
      </c>
      <c r="L104" s="616">
        <f t="shared" si="31"/>
        <v>2017</v>
      </c>
      <c r="M104" s="616">
        <f t="shared" si="31"/>
        <v>2018</v>
      </c>
      <c r="N104" s="616">
        <f t="shared" si="31"/>
        <v>2019</v>
      </c>
      <c r="O104" s="616">
        <f t="shared" si="31"/>
        <v>2020</v>
      </c>
      <c r="P104" s="77"/>
      <c r="Q104" s="78"/>
      <c r="R104" s="110"/>
      <c r="S104" s="110"/>
    </row>
    <row r="105" spans="2:19" x14ac:dyDescent="0.2">
      <c r="B105" s="76"/>
      <c r="C105" s="77"/>
      <c r="D105" s="77"/>
      <c r="E105" s="77"/>
      <c r="F105" s="70"/>
      <c r="G105" s="77"/>
      <c r="H105" s="77"/>
      <c r="I105" s="77"/>
      <c r="J105" s="70"/>
      <c r="K105" s="70"/>
      <c r="L105" s="70"/>
      <c r="M105" s="70"/>
      <c r="N105" s="70"/>
      <c r="O105" s="70"/>
      <c r="P105" s="77"/>
      <c r="Q105" s="78"/>
      <c r="R105" s="110"/>
      <c r="S105" s="110"/>
    </row>
    <row r="106" spans="2:19" x14ac:dyDescent="0.2">
      <c r="B106" s="76"/>
      <c r="C106" s="191"/>
      <c r="D106" s="191"/>
      <c r="E106" s="191"/>
      <c r="F106" s="71"/>
      <c r="G106" s="191"/>
      <c r="H106" s="191"/>
      <c r="I106" s="191"/>
      <c r="J106" s="71"/>
      <c r="K106" s="71"/>
      <c r="L106" s="71"/>
      <c r="M106" s="71"/>
      <c r="N106" s="71"/>
      <c r="O106" s="71"/>
      <c r="P106" s="191"/>
      <c r="Q106" s="78"/>
      <c r="R106" s="110"/>
      <c r="S106" s="110"/>
    </row>
    <row r="107" spans="2:19" x14ac:dyDescent="0.2">
      <c r="B107" s="76"/>
      <c r="C107" s="191"/>
      <c r="D107" s="604" t="s">
        <v>119</v>
      </c>
      <c r="E107" s="191"/>
      <c r="F107" s="211" t="s">
        <v>243</v>
      </c>
      <c r="G107" s="191"/>
      <c r="H107" s="191"/>
      <c r="I107" s="191"/>
      <c r="J107" s="71"/>
      <c r="K107" s="71"/>
      <c r="L107" s="71"/>
      <c r="M107" s="71"/>
      <c r="N107" s="71"/>
      <c r="O107" s="71"/>
      <c r="P107" s="191"/>
      <c r="Q107" s="78"/>
      <c r="R107" s="110"/>
      <c r="S107" s="110"/>
    </row>
    <row r="108" spans="2:19" x14ac:dyDescent="0.2">
      <c r="B108" s="76"/>
      <c r="C108" s="191"/>
      <c r="D108" s="191"/>
      <c r="E108" s="191"/>
      <c r="F108" s="71"/>
      <c r="G108" s="191"/>
      <c r="H108" s="661"/>
      <c r="I108" s="661"/>
      <c r="J108" s="71"/>
      <c r="K108" s="71"/>
      <c r="L108" s="71"/>
      <c r="M108" s="71"/>
      <c r="N108" s="71"/>
      <c r="O108" s="71"/>
      <c r="P108" s="191"/>
      <c r="Q108" s="78"/>
      <c r="R108" s="110"/>
      <c r="S108" s="110"/>
    </row>
    <row r="109" spans="2:19" x14ac:dyDescent="0.2">
      <c r="B109" s="76"/>
      <c r="C109" s="191"/>
      <c r="D109" s="50" t="s">
        <v>125</v>
      </c>
      <c r="E109" s="191"/>
      <c r="F109" s="558"/>
      <c r="G109" s="191"/>
      <c r="H109" s="668"/>
      <c r="I109" s="668"/>
      <c r="J109" s="68">
        <f>act!F30</f>
        <v>0</v>
      </c>
      <c r="K109" s="68">
        <f>act!G30</f>
        <v>0</v>
      </c>
      <c r="L109" s="68">
        <f>act!H30</f>
        <v>0</v>
      </c>
      <c r="M109" s="68">
        <f>act!I30</f>
        <v>0</v>
      </c>
      <c r="N109" s="68">
        <f>act!J30</f>
        <v>0</v>
      </c>
      <c r="O109" s="68">
        <f>act!K30</f>
        <v>0</v>
      </c>
      <c r="P109" s="191"/>
      <c r="Q109" s="78"/>
      <c r="R109" s="110"/>
      <c r="S109" s="110"/>
    </row>
    <row r="110" spans="2:19" x14ac:dyDescent="0.2">
      <c r="B110" s="76"/>
      <c r="C110" s="191"/>
      <c r="D110" s="50" t="s">
        <v>127</v>
      </c>
      <c r="E110" s="191"/>
      <c r="F110" s="558"/>
      <c r="G110" s="191"/>
      <c r="H110" s="668"/>
      <c r="I110" s="668"/>
      <c r="J110" s="68">
        <f>act!F31</f>
        <v>0</v>
      </c>
      <c r="K110" s="68">
        <f>act!G31</f>
        <v>0</v>
      </c>
      <c r="L110" s="68">
        <f>act!H31</f>
        <v>0</v>
      </c>
      <c r="M110" s="68">
        <f>act!I31</f>
        <v>0</v>
      </c>
      <c r="N110" s="68">
        <f>act!J31</f>
        <v>0</v>
      </c>
      <c r="O110" s="68">
        <f>act!K31</f>
        <v>0</v>
      </c>
      <c r="P110" s="191"/>
      <c r="Q110" s="78"/>
      <c r="R110" s="110"/>
      <c r="S110" s="110"/>
    </row>
    <row r="111" spans="2:19" x14ac:dyDescent="0.2">
      <c r="B111" s="76"/>
      <c r="C111" s="191"/>
      <c r="D111" s="50" t="s">
        <v>121</v>
      </c>
      <c r="E111" s="191"/>
      <c r="F111" s="558"/>
      <c r="G111" s="191"/>
      <c r="H111" s="668"/>
      <c r="I111" s="668"/>
      <c r="J111" s="68">
        <f>act!F32</f>
        <v>0</v>
      </c>
      <c r="K111" s="68">
        <f>act!G32</f>
        <v>0</v>
      </c>
      <c r="L111" s="68">
        <f>act!H32</f>
        <v>0</v>
      </c>
      <c r="M111" s="68">
        <f>act!I32</f>
        <v>0</v>
      </c>
      <c r="N111" s="68">
        <f>act!J32</f>
        <v>0</v>
      </c>
      <c r="O111" s="68">
        <f>act!K32</f>
        <v>0</v>
      </c>
      <c r="P111" s="191"/>
      <c r="Q111" s="78"/>
      <c r="R111" s="110"/>
      <c r="S111" s="110"/>
    </row>
    <row r="112" spans="2:19" x14ac:dyDescent="0.2">
      <c r="B112" s="76"/>
      <c r="C112" s="191"/>
      <c r="D112" s="50" t="s">
        <v>128</v>
      </c>
      <c r="E112" s="191"/>
      <c r="F112" s="558"/>
      <c r="G112" s="191"/>
      <c r="H112" s="668"/>
      <c r="I112" s="668"/>
      <c r="J112" s="68">
        <f>act!F33</f>
        <v>0</v>
      </c>
      <c r="K112" s="68">
        <f>act!G33</f>
        <v>0</v>
      </c>
      <c r="L112" s="68">
        <f>act!H33</f>
        <v>0</v>
      </c>
      <c r="M112" s="68">
        <f>act!I33</f>
        <v>0</v>
      </c>
      <c r="N112" s="68">
        <f>act!J33</f>
        <v>0</v>
      </c>
      <c r="O112" s="68">
        <f>act!K33</f>
        <v>0</v>
      </c>
      <c r="P112" s="191"/>
      <c r="Q112" s="78"/>
      <c r="R112" s="110"/>
      <c r="S112" s="110"/>
    </row>
    <row r="113" spans="2:19" x14ac:dyDescent="0.2">
      <c r="B113" s="76"/>
      <c r="C113" s="191"/>
      <c r="D113" s="191"/>
      <c r="E113" s="191"/>
      <c r="F113" s="71"/>
      <c r="G113" s="191"/>
      <c r="H113" s="667"/>
      <c r="I113" s="667"/>
      <c r="J113" s="71"/>
      <c r="K113" s="71"/>
      <c r="L113" s="71"/>
      <c r="M113" s="71"/>
      <c r="N113" s="71"/>
      <c r="O113" s="71"/>
      <c r="P113" s="191"/>
      <c r="Q113" s="78"/>
      <c r="R113" s="110"/>
      <c r="S113" s="110"/>
    </row>
    <row r="114" spans="2:19" x14ac:dyDescent="0.2">
      <c r="B114" s="76"/>
      <c r="C114" s="191"/>
      <c r="D114" s="199" t="s">
        <v>158</v>
      </c>
      <c r="E114" s="191"/>
      <c r="F114" s="71"/>
      <c r="G114" s="191"/>
      <c r="H114" s="959"/>
      <c r="I114" s="959"/>
      <c r="J114" s="545">
        <f t="shared" ref="J114:O114" si="32">SUM(J109:J112)</f>
        <v>0</v>
      </c>
      <c r="K114" s="545">
        <f t="shared" si="32"/>
        <v>0</v>
      </c>
      <c r="L114" s="545">
        <f t="shared" si="32"/>
        <v>0</v>
      </c>
      <c r="M114" s="545">
        <f t="shared" si="32"/>
        <v>0</v>
      </c>
      <c r="N114" s="545">
        <f t="shared" si="32"/>
        <v>0</v>
      </c>
      <c r="O114" s="545">
        <f t="shared" si="32"/>
        <v>0</v>
      </c>
      <c r="P114" s="191"/>
      <c r="Q114" s="78"/>
      <c r="R114" s="110"/>
      <c r="S114" s="110"/>
    </row>
    <row r="115" spans="2:19" x14ac:dyDescent="0.2">
      <c r="B115" s="76"/>
      <c r="C115" s="191"/>
      <c r="D115" s="191"/>
      <c r="E115" s="191"/>
      <c r="F115" s="71"/>
      <c r="G115" s="191"/>
      <c r="H115" s="661"/>
      <c r="I115" s="661"/>
      <c r="J115" s="71"/>
      <c r="K115" s="71"/>
      <c r="L115" s="71"/>
      <c r="M115" s="71"/>
      <c r="N115" s="71"/>
      <c r="O115" s="71"/>
      <c r="P115" s="191"/>
      <c r="Q115" s="78"/>
      <c r="R115" s="110"/>
      <c r="S115" s="110"/>
    </row>
    <row r="116" spans="2:19" x14ac:dyDescent="0.2">
      <c r="B116" s="76"/>
      <c r="C116" s="77"/>
      <c r="D116" s="77"/>
      <c r="E116" s="77"/>
      <c r="F116" s="70"/>
      <c r="G116" s="77"/>
      <c r="H116" s="77"/>
      <c r="I116" s="77"/>
      <c r="J116" s="70"/>
      <c r="K116" s="70"/>
      <c r="L116" s="70"/>
      <c r="M116" s="70"/>
      <c r="N116" s="70"/>
      <c r="O116" s="70"/>
      <c r="P116" s="77"/>
      <c r="Q116" s="78"/>
      <c r="R116" s="110"/>
      <c r="S116" s="110"/>
    </row>
    <row r="117" spans="2:19" x14ac:dyDescent="0.2">
      <c r="B117" s="76"/>
      <c r="C117" s="191"/>
      <c r="D117" s="191"/>
      <c r="E117" s="191"/>
      <c r="F117" s="71"/>
      <c r="G117" s="191"/>
      <c r="H117" s="191"/>
      <c r="I117" s="191"/>
      <c r="J117" s="71"/>
      <c r="K117" s="71"/>
      <c r="L117" s="71"/>
      <c r="M117" s="71"/>
      <c r="N117" s="71"/>
      <c r="O117" s="71"/>
      <c r="P117" s="191"/>
      <c r="Q117" s="78"/>
      <c r="R117" s="110"/>
      <c r="S117" s="110"/>
    </row>
    <row r="118" spans="2:19" x14ac:dyDescent="0.2">
      <c r="B118" s="76"/>
      <c r="C118" s="191"/>
      <c r="D118" s="604" t="s">
        <v>120</v>
      </c>
      <c r="E118" s="191"/>
      <c r="F118" s="71"/>
      <c r="G118" s="191"/>
      <c r="H118" s="191"/>
      <c r="I118" s="191"/>
      <c r="J118" s="71"/>
      <c r="K118" s="71"/>
      <c r="L118" s="71"/>
      <c r="M118" s="71"/>
      <c r="N118" s="71"/>
      <c r="O118" s="71"/>
      <c r="P118" s="191"/>
      <c r="Q118" s="78"/>
      <c r="R118" s="110"/>
      <c r="S118" s="110"/>
    </row>
    <row r="119" spans="2:19" x14ac:dyDescent="0.2">
      <c r="B119" s="76"/>
      <c r="C119" s="191"/>
      <c r="D119" s="191"/>
      <c r="E119" s="191"/>
      <c r="F119" s="71"/>
      <c r="G119" s="191"/>
      <c r="H119" s="191"/>
      <c r="I119" s="191"/>
      <c r="J119" s="71"/>
      <c r="K119" s="71"/>
      <c r="L119" s="71"/>
      <c r="M119" s="71"/>
      <c r="N119" s="71"/>
      <c r="O119" s="71"/>
      <c r="P119" s="191"/>
      <c r="Q119" s="78"/>
      <c r="R119" s="110"/>
      <c r="S119" s="110"/>
    </row>
    <row r="120" spans="2:19" x14ac:dyDescent="0.2">
      <c r="B120" s="76"/>
      <c r="C120" s="191"/>
      <c r="D120" s="199" t="s">
        <v>63</v>
      </c>
      <c r="E120" s="191"/>
      <c r="F120" s="71"/>
      <c r="G120" s="191"/>
      <c r="H120" s="661"/>
      <c r="I120" s="661"/>
      <c r="J120" s="71"/>
      <c r="K120" s="71"/>
      <c r="L120" s="71"/>
      <c r="M120" s="71"/>
      <c r="N120" s="71"/>
      <c r="O120" s="71"/>
      <c r="P120" s="191"/>
      <c r="Q120" s="78"/>
      <c r="R120" s="110"/>
      <c r="S120" s="110"/>
    </row>
    <row r="121" spans="2:19" x14ac:dyDescent="0.2">
      <c r="B121" s="76"/>
      <c r="C121" s="191"/>
      <c r="D121" s="535"/>
      <c r="E121" s="191"/>
      <c r="F121" s="558"/>
      <c r="G121" s="191"/>
      <c r="H121" s="1271"/>
      <c r="I121" s="1271"/>
      <c r="J121" s="67">
        <v>0</v>
      </c>
      <c r="K121" s="67">
        <f>J121</f>
        <v>0</v>
      </c>
      <c r="L121" s="67">
        <f t="shared" ref="L121:O121" si="33">K121</f>
        <v>0</v>
      </c>
      <c r="M121" s="67">
        <f t="shared" si="33"/>
        <v>0</v>
      </c>
      <c r="N121" s="67">
        <f t="shared" si="33"/>
        <v>0</v>
      </c>
      <c r="O121" s="67">
        <f t="shared" si="33"/>
        <v>0</v>
      </c>
      <c r="P121" s="191"/>
      <c r="Q121" s="78"/>
      <c r="R121" s="110"/>
      <c r="S121" s="110"/>
    </row>
    <row r="122" spans="2:19" x14ac:dyDescent="0.2">
      <c r="B122" s="76"/>
      <c r="C122" s="191"/>
      <c r="D122" s="1680"/>
      <c r="E122" s="191"/>
      <c r="F122" s="558"/>
      <c r="G122" s="191"/>
      <c r="H122" s="1271"/>
      <c r="I122" s="1268"/>
      <c r="J122" s="67">
        <v>0</v>
      </c>
      <c r="K122" s="67">
        <f t="shared" ref="K122:O123" si="34">J122</f>
        <v>0</v>
      </c>
      <c r="L122" s="67">
        <f t="shared" si="34"/>
        <v>0</v>
      </c>
      <c r="M122" s="67">
        <f t="shared" si="34"/>
        <v>0</v>
      </c>
      <c r="N122" s="67">
        <f t="shared" si="34"/>
        <v>0</v>
      </c>
      <c r="O122" s="67">
        <f t="shared" si="34"/>
        <v>0</v>
      </c>
      <c r="P122" s="191"/>
      <c r="Q122" s="78"/>
      <c r="R122" s="110"/>
      <c r="S122" s="110"/>
    </row>
    <row r="123" spans="2:19" x14ac:dyDescent="0.2">
      <c r="B123" s="76"/>
      <c r="C123" s="191"/>
      <c r="D123" s="1680"/>
      <c r="E123" s="191"/>
      <c r="F123" s="558"/>
      <c r="G123" s="191"/>
      <c r="H123" s="1271"/>
      <c r="I123" s="1268"/>
      <c r="J123" s="67">
        <v>0</v>
      </c>
      <c r="K123" s="67">
        <f t="shared" si="34"/>
        <v>0</v>
      </c>
      <c r="L123" s="67">
        <f t="shared" si="34"/>
        <v>0</v>
      </c>
      <c r="M123" s="67">
        <f t="shared" si="34"/>
        <v>0</v>
      </c>
      <c r="N123" s="67">
        <f t="shared" si="34"/>
        <v>0</v>
      </c>
      <c r="O123" s="67">
        <f t="shared" si="34"/>
        <v>0</v>
      </c>
      <c r="P123" s="191"/>
      <c r="Q123" s="78"/>
      <c r="R123" s="110"/>
      <c r="S123" s="110"/>
    </row>
    <row r="124" spans="2:19" x14ac:dyDescent="0.2">
      <c r="B124" s="76"/>
      <c r="C124" s="191"/>
      <c r="D124" s="199"/>
      <c r="E124" s="191"/>
      <c r="F124" s="71"/>
      <c r="G124" s="191"/>
      <c r="H124" s="1274"/>
      <c r="I124" s="1274"/>
      <c r="J124" s="522">
        <f t="shared" ref="J124:O124" si="35">SUM(J121:J123)</f>
        <v>0</v>
      </c>
      <c r="K124" s="522">
        <f t="shared" si="35"/>
        <v>0</v>
      </c>
      <c r="L124" s="522">
        <f t="shared" si="35"/>
        <v>0</v>
      </c>
      <c r="M124" s="522">
        <f t="shared" si="35"/>
        <v>0</v>
      </c>
      <c r="N124" s="522">
        <f t="shared" si="35"/>
        <v>0</v>
      </c>
      <c r="O124" s="522">
        <f t="shared" si="35"/>
        <v>0</v>
      </c>
      <c r="P124" s="191"/>
      <c r="Q124" s="78"/>
      <c r="R124" s="110"/>
      <c r="S124" s="110"/>
    </row>
    <row r="125" spans="2:19" x14ac:dyDescent="0.2">
      <c r="B125" s="76"/>
      <c r="C125" s="191"/>
      <c r="D125" s="539"/>
      <c r="E125" s="540"/>
      <c r="F125" s="541"/>
      <c r="G125" s="540"/>
      <c r="H125" s="541"/>
      <c r="I125" s="541"/>
      <c r="J125" s="541"/>
      <c r="K125" s="541"/>
      <c r="L125" s="541"/>
      <c r="M125" s="541"/>
      <c r="N125" s="541"/>
      <c r="O125" s="541"/>
      <c r="P125" s="191"/>
      <c r="Q125" s="78"/>
      <c r="R125" s="110"/>
      <c r="S125" s="110"/>
    </row>
    <row r="126" spans="2:19" x14ac:dyDescent="0.2">
      <c r="B126" s="76"/>
      <c r="C126" s="191"/>
      <c r="D126" s="538"/>
      <c r="E126" s="508"/>
      <c r="F126" s="79"/>
      <c r="G126" s="508"/>
      <c r="H126" s="79"/>
      <c r="I126" s="79"/>
      <c r="J126" s="79"/>
      <c r="K126" s="79"/>
      <c r="L126" s="79"/>
      <c r="M126" s="79"/>
      <c r="N126" s="79"/>
      <c r="O126" s="79"/>
      <c r="P126" s="191"/>
      <c r="Q126" s="78"/>
      <c r="R126" s="110"/>
      <c r="S126" s="110"/>
    </row>
    <row r="127" spans="2:19" x14ac:dyDescent="0.2">
      <c r="B127" s="76"/>
      <c r="C127" s="191"/>
      <c r="D127" s="199" t="s">
        <v>64</v>
      </c>
      <c r="E127" s="191"/>
      <c r="F127" s="71"/>
      <c r="G127" s="191"/>
      <c r="H127" s="191"/>
      <c r="I127" s="191"/>
      <c r="J127" s="71"/>
      <c r="K127" s="71"/>
      <c r="L127" s="71"/>
      <c r="M127" s="71"/>
      <c r="N127" s="71"/>
      <c r="O127" s="71"/>
      <c r="P127" s="191"/>
      <c r="Q127" s="78"/>
      <c r="R127" s="110"/>
      <c r="S127" s="110"/>
    </row>
    <row r="128" spans="2:19" x14ac:dyDescent="0.2">
      <c r="B128" s="76"/>
      <c r="C128" s="191"/>
      <c r="D128" s="535" t="s">
        <v>568</v>
      </c>
      <c r="E128" s="191"/>
      <c r="F128" s="558"/>
      <c r="G128" s="191"/>
      <c r="H128" s="1268"/>
      <c r="I128" s="1268"/>
      <c r="J128" s="537">
        <v>0</v>
      </c>
      <c r="K128" s="537">
        <f t="shared" ref="K128:M130" si="36">J128</f>
        <v>0</v>
      </c>
      <c r="L128" s="537">
        <f t="shared" si="36"/>
        <v>0</v>
      </c>
      <c r="M128" s="537">
        <f t="shared" si="36"/>
        <v>0</v>
      </c>
      <c r="N128" s="537">
        <f t="shared" ref="N128:O130" si="37">M128</f>
        <v>0</v>
      </c>
      <c r="O128" s="537">
        <f t="shared" si="37"/>
        <v>0</v>
      </c>
      <c r="P128" s="191"/>
      <c r="Q128" s="78"/>
      <c r="R128" s="110"/>
      <c r="S128" s="110"/>
    </row>
    <row r="129" spans="2:19" x14ac:dyDescent="0.2">
      <c r="B129" s="76"/>
      <c r="C129" s="191"/>
      <c r="D129" s="535"/>
      <c r="E129" s="191"/>
      <c r="F129" s="558"/>
      <c r="G129" s="191"/>
      <c r="H129" s="1268"/>
      <c r="I129" s="1268"/>
      <c r="J129" s="537">
        <v>0</v>
      </c>
      <c r="K129" s="537">
        <f t="shared" si="36"/>
        <v>0</v>
      </c>
      <c r="L129" s="537">
        <f t="shared" si="36"/>
        <v>0</v>
      </c>
      <c r="M129" s="537">
        <f t="shared" si="36"/>
        <v>0</v>
      </c>
      <c r="N129" s="537">
        <f t="shared" si="37"/>
        <v>0</v>
      </c>
      <c r="O129" s="537">
        <f t="shared" si="37"/>
        <v>0</v>
      </c>
      <c r="P129" s="191"/>
      <c r="Q129" s="78"/>
      <c r="R129" s="110"/>
      <c r="S129" s="110"/>
    </row>
    <row r="130" spans="2:19" x14ac:dyDescent="0.2">
      <c r="B130" s="76"/>
      <c r="C130" s="191"/>
      <c r="D130" s="535"/>
      <c r="E130" s="191"/>
      <c r="F130" s="558"/>
      <c r="G130" s="191"/>
      <c r="H130" s="1268"/>
      <c r="I130" s="1268"/>
      <c r="J130" s="537">
        <v>0</v>
      </c>
      <c r="K130" s="537">
        <f t="shared" si="36"/>
        <v>0</v>
      </c>
      <c r="L130" s="537">
        <f t="shared" si="36"/>
        <v>0</v>
      </c>
      <c r="M130" s="537">
        <f t="shared" si="36"/>
        <v>0</v>
      </c>
      <c r="N130" s="537">
        <f t="shared" si="37"/>
        <v>0</v>
      </c>
      <c r="O130" s="537">
        <f t="shared" si="37"/>
        <v>0</v>
      </c>
      <c r="P130" s="191"/>
      <c r="Q130" s="78"/>
      <c r="R130" s="110"/>
      <c r="S130" s="110"/>
    </row>
    <row r="131" spans="2:19" x14ac:dyDescent="0.2">
      <c r="B131" s="76"/>
      <c r="C131" s="191"/>
      <c r="D131" s="199"/>
      <c r="E131" s="191"/>
      <c r="F131" s="71"/>
      <c r="G131" s="191"/>
      <c r="H131" s="1274"/>
      <c r="I131" s="1274"/>
      <c r="J131" s="522">
        <f t="shared" ref="J131:O131" si="38">SUM(J128:J130)</f>
        <v>0</v>
      </c>
      <c r="K131" s="522">
        <f t="shared" si="38"/>
        <v>0</v>
      </c>
      <c r="L131" s="522">
        <f t="shared" si="38"/>
        <v>0</v>
      </c>
      <c r="M131" s="522">
        <f t="shared" si="38"/>
        <v>0</v>
      </c>
      <c r="N131" s="522">
        <f t="shared" si="38"/>
        <v>0</v>
      </c>
      <c r="O131" s="522">
        <f t="shared" si="38"/>
        <v>0</v>
      </c>
      <c r="P131" s="191"/>
      <c r="Q131" s="78"/>
      <c r="R131" s="110"/>
      <c r="S131" s="110"/>
    </row>
    <row r="132" spans="2:19" x14ac:dyDescent="0.2">
      <c r="B132" s="76"/>
      <c r="C132" s="191"/>
      <c r="D132" s="539"/>
      <c r="E132" s="540"/>
      <c r="F132" s="541"/>
      <c r="G132" s="540"/>
      <c r="H132" s="541"/>
      <c r="I132" s="541"/>
      <c r="J132" s="541"/>
      <c r="K132" s="541"/>
      <c r="L132" s="541"/>
      <c r="M132" s="541"/>
      <c r="N132" s="541"/>
      <c r="O132" s="541"/>
      <c r="P132" s="191"/>
      <c r="Q132" s="78"/>
      <c r="R132" s="110"/>
      <c r="S132" s="110"/>
    </row>
    <row r="133" spans="2:19" x14ac:dyDescent="0.2">
      <c r="B133" s="76"/>
      <c r="C133" s="191"/>
      <c r="D133" s="538"/>
      <c r="E133" s="508"/>
      <c r="F133" s="79"/>
      <c r="G133" s="508"/>
      <c r="H133" s="79"/>
      <c r="I133" s="79"/>
      <c r="J133" s="79"/>
      <c r="K133" s="79"/>
      <c r="L133" s="79"/>
      <c r="M133" s="79"/>
      <c r="N133" s="79"/>
      <c r="O133" s="79"/>
      <c r="P133" s="191"/>
      <c r="Q133" s="78"/>
      <c r="R133" s="110"/>
      <c r="S133" s="110"/>
    </row>
    <row r="134" spans="2:19" x14ac:dyDescent="0.2">
      <c r="B134" s="76"/>
      <c r="C134" s="191"/>
      <c r="D134" s="199" t="s">
        <v>158</v>
      </c>
      <c r="E134" s="191"/>
      <c r="F134" s="71"/>
      <c r="G134" s="191"/>
      <c r="H134" s="959"/>
      <c r="I134" s="959"/>
      <c r="J134" s="545">
        <f t="shared" ref="J134:O134" si="39">J124+J131</f>
        <v>0</v>
      </c>
      <c r="K134" s="545">
        <f t="shared" si="39"/>
        <v>0</v>
      </c>
      <c r="L134" s="545">
        <f t="shared" si="39"/>
        <v>0</v>
      </c>
      <c r="M134" s="545">
        <f t="shared" si="39"/>
        <v>0</v>
      </c>
      <c r="N134" s="545">
        <f t="shared" si="39"/>
        <v>0</v>
      </c>
      <c r="O134" s="545">
        <f t="shared" si="39"/>
        <v>0</v>
      </c>
      <c r="P134" s="191"/>
      <c r="Q134" s="78"/>
      <c r="R134" s="110"/>
      <c r="S134" s="110"/>
    </row>
    <row r="135" spans="2:19" x14ac:dyDescent="0.2">
      <c r="B135" s="76"/>
      <c r="C135" s="191"/>
      <c r="D135" s="191"/>
      <c r="E135" s="191"/>
      <c r="F135" s="71"/>
      <c r="G135" s="191"/>
      <c r="H135" s="191"/>
      <c r="I135" s="191"/>
      <c r="J135" s="71"/>
      <c r="K135" s="71"/>
      <c r="L135" s="71"/>
      <c r="M135" s="71"/>
      <c r="N135" s="71"/>
      <c r="O135" s="71"/>
      <c r="P135" s="191"/>
      <c r="Q135" s="78"/>
      <c r="R135" s="110"/>
      <c r="S135" s="110"/>
    </row>
    <row r="136" spans="2:19" x14ac:dyDescent="0.2">
      <c r="B136" s="76"/>
      <c r="C136" s="77"/>
      <c r="D136" s="77"/>
      <c r="E136" s="77"/>
      <c r="F136" s="70"/>
      <c r="G136" s="77"/>
      <c r="H136" s="77"/>
      <c r="I136" s="77"/>
      <c r="J136" s="70"/>
      <c r="K136" s="70"/>
      <c r="L136" s="70"/>
      <c r="M136" s="70"/>
      <c r="N136" s="70"/>
      <c r="O136" s="70"/>
      <c r="P136" s="77"/>
      <c r="Q136" s="78"/>
      <c r="R136" s="110"/>
      <c r="S136" s="110"/>
    </row>
    <row r="137" spans="2:19" x14ac:dyDescent="0.2">
      <c r="B137" s="76"/>
      <c r="C137" s="191"/>
      <c r="D137" s="191"/>
      <c r="E137" s="191"/>
      <c r="F137" s="71"/>
      <c r="G137" s="191"/>
      <c r="H137" s="191"/>
      <c r="I137" s="191"/>
      <c r="J137" s="71"/>
      <c r="K137" s="71"/>
      <c r="L137" s="71"/>
      <c r="M137" s="71"/>
      <c r="N137" s="71"/>
      <c r="O137" s="71"/>
      <c r="P137" s="191"/>
      <c r="Q137" s="78"/>
      <c r="R137" s="110"/>
      <c r="S137" s="110"/>
    </row>
    <row r="138" spans="2:19" x14ac:dyDescent="0.2">
      <c r="B138" s="76"/>
      <c r="C138" s="191"/>
      <c r="D138" s="604" t="s">
        <v>204</v>
      </c>
      <c r="E138" s="191"/>
      <c r="F138" s="71"/>
      <c r="G138" s="191"/>
      <c r="H138" s="191"/>
      <c r="I138" s="191"/>
      <c r="J138" s="71"/>
      <c r="K138" s="71"/>
      <c r="L138" s="71"/>
      <c r="M138" s="71"/>
      <c r="N138" s="71"/>
      <c r="O138" s="71"/>
      <c r="P138" s="191"/>
      <c r="Q138" s="78"/>
      <c r="R138" s="110"/>
      <c r="S138" s="110"/>
    </row>
    <row r="139" spans="2:19" x14ac:dyDescent="0.2">
      <c r="B139" s="76"/>
      <c r="C139" s="191"/>
      <c r="D139" s="191"/>
      <c r="E139" s="191"/>
      <c r="F139" s="71"/>
      <c r="G139" s="191"/>
      <c r="H139" s="191"/>
      <c r="I139" s="191"/>
      <c r="J139" s="71"/>
      <c r="K139" s="71"/>
      <c r="L139" s="71"/>
      <c r="M139" s="71"/>
      <c r="N139" s="71"/>
      <c r="O139" s="71"/>
      <c r="P139" s="191"/>
      <c r="Q139" s="78"/>
      <c r="R139" s="110"/>
      <c r="S139" s="110"/>
    </row>
    <row r="140" spans="2:19" x14ac:dyDescent="0.2">
      <c r="B140" s="76"/>
      <c r="C140" s="191"/>
      <c r="D140" s="199" t="s">
        <v>63</v>
      </c>
      <c r="E140" s="191"/>
      <c r="F140" s="71"/>
      <c r="G140" s="191"/>
      <c r="H140" s="191"/>
      <c r="I140" s="191"/>
      <c r="J140" s="71"/>
      <c r="K140" s="71"/>
      <c r="L140" s="71"/>
      <c r="M140" s="71"/>
      <c r="N140" s="71"/>
      <c r="O140" s="71"/>
      <c r="P140" s="191"/>
      <c r="Q140" s="78"/>
      <c r="R140" s="110"/>
      <c r="S140" s="110"/>
    </row>
    <row r="141" spans="2:19" x14ac:dyDescent="0.2">
      <c r="B141" s="76"/>
      <c r="C141" s="191"/>
      <c r="D141" s="199" t="s">
        <v>943</v>
      </c>
      <c r="E141" s="191"/>
      <c r="F141" s="1170"/>
      <c r="G141" s="191"/>
      <c r="H141" s="191"/>
      <c r="I141" s="191"/>
      <c r="J141" s="71"/>
      <c r="K141" s="1623">
        <f>'LWOO-PRO'!O26</f>
        <v>0</v>
      </c>
      <c r="L141" s="1623">
        <f>'LWOO-PRO'!P26</f>
        <v>0</v>
      </c>
      <c r="M141" s="1623">
        <f>'LWOO-PRO'!Q26</f>
        <v>0</v>
      </c>
      <c r="N141" s="1623">
        <f>'LWOO-PRO'!R26</f>
        <v>0</v>
      </c>
      <c r="O141" s="1623">
        <f>'LWOO-PRO'!S26</f>
        <v>0</v>
      </c>
      <c r="P141" s="191"/>
      <c r="Q141" s="78"/>
      <c r="R141" s="110"/>
      <c r="S141" s="110"/>
    </row>
    <row r="142" spans="2:19" x14ac:dyDescent="0.2">
      <c r="B142" s="76"/>
      <c r="C142" s="191"/>
      <c r="D142" s="199" t="s">
        <v>944</v>
      </c>
      <c r="E142" s="191"/>
      <c r="F142" s="1170"/>
      <c r="G142" s="191"/>
      <c r="H142" s="191"/>
      <c r="I142" s="191"/>
      <c r="J142" s="71"/>
      <c r="K142" s="1623">
        <f>'LWOO-PRO'!O29</f>
        <v>0</v>
      </c>
      <c r="L142" s="1623">
        <f>'LWOO-PRO'!P29</f>
        <v>0</v>
      </c>
      <c r="M142" s="1623">
        <f>'LWOO-PRO'!Q29</f>
        <v>0</v>
      </c>
      <c r="N142" s="1623">
        <f>'LWOO-PRO'!R29</f>
        <v>0</v>
      </c>
      <c r="O142" s="1623">
        <f>'LWOO-PRO'!S29</f>
        <v>0</v>
      </c>
      <c r="P142" s="191"/>
      <c r="Q142" s="78"/>
      <c r="R142" s="110"/>
      <c r="S142" s="110"/>
    </row>
    <row r="143" spans="2:19" x14ac:dyDescent="0.2">
      <c r="B143" s="76"/>
      <c r="C143" s="191"/>
      <c r="D143" s="199" t="s">
        <v>945</v>
      </c>
      <c r="E143" s="191"/>
      <c r="F143" s="1170"/>
      <c r="G143" s="191"/>
      <c r="H143" s="191"/>
      <c r="I143" s="191"/>
      <c r="J143" s="71"/>
      <c r="K143" s="1627">
        <f>SUM(K141:K142)</f>
        <v>0</v>
      </c>
      <c r="L143" s="1627">
        <f t="shared" ref="L143:O143" si="40">SUM(L141:L142)</f>
        <v>0</v>
      </c>
      <c r="M143" s="1627">
        <f t="shared" si="40"/>
        <v>0</v>
      </c>
      <c r="N143" s="1627">
        <f t="shared" si="40"/>
        <v>0</v>
      </c>
      <c r="O143" s="1627">
        <f t="shared" si="40"/>
        <v>0</v>
      </c>
      <c r="P143" s="191"/>
      <c r="Q143" s="78"/>
      <c r="R143" s="110"/>
      <c r="S143" s="110"/>
    </row>
    <row r="144" spans="2:19" x14ac:dyDescent="0.2">
      <c r="B144" s="76"/>
      <c r="C144" s="191"/>
      <c r="D144" s="199"/>
      <c r="E144" s="191"/>
      <c r="F144" s="667"/>
      <c r="G144" s="661"/>
      <c r="H144" s="661"/>
      <c r="I144" s="661"/>
      <c r="J144" s="667"/>
      <c r="K144" s="667"/>
      <c r="L144" s="667"/>
      <c r="M144" s="667"/>
      <c r="N144" s="667"/>
      <c r="O144" s="667"/>
      <c r="P144" s="191"/>
      <c r="Q144" s="78"/>
      <c r="R144" s="110"/>
      <c r="S144" s="110"/>
    </row>
    <row r="145" spans="2:19" x14ac:dyDescent="0.2">
      <c r="B145" s="76"/>
      <c r="C145" s="191"/>
      <c r="D145" s="535" t="s">
        <v>427</v>
      </c>
      <c r="E145" s="191"/>
      <c r="F145" s="558"/>
      <c r="G145" s="191"/>
      <c r="H145" s="1271"/>
      <c r="I145" s="1271"/>
      <c r="J145" s="67">
        <v>0</v>
      </c>
      <c r="K145" s="67">
        <f>J145</f>
        <v>0</v>
      </c>
      <c r="L145" s="67">
        <f t="shared" ref="L145:O145" si="41">K145</f>
        <v>0</v>
      </c>
      <c r="M145" s="67">
        <f t="shared" si="41"/>
        <v>0</v>
      </c>
      <c r="N145" s="67">
        <f t="shared" si="41"/>
        <v>0</v>
      </c>
      <c r="O145" s="67">
        <f t="shared" si="41"/>
        <v>0</v>
      </c>
      <c r="P145" s="191"/>
      <c r="Q145" s="78"/>
      <c r="R145" s="110"/>
      <c r="S145" s="110"/>
    </row>
    <row r="146" spans="2:19" x14ac:dyDescent="0.2">
      <c r="B146" s="76"/>
      <c r="C146" s="191"/>
      <c r="D146" s="535" t="s">
        <v>428</v>
      </c>
      <c r="E146" s="191"/>
      <c r="F146" s="558"/>
      <c r="G146" s="191"/>
      <c r="H146" s="1271"/>
      <c r="I146" s="1271"/>
      <c r="J146" s="67">
        <v>0</v>
      </c>
      <c r="K146" s="67">
        <f t="shared" ref="K146:O149" si="42">J146</f>
        <v>0</v>
      </c>
      <c r="L146" s="67">
        <f t="shared" si="42"/>
        <v>0</v>
      </c>
      <c r="M146" s="67">
        <f t="shared" si="42"/>
        <v>0</v>
      </c>
      <c r="N146" s="67">
        <f t="shared" si="42"/>
        <v>0</v>
      </c>
      <c r="O146" s="67">
        <f t="shared" si="42"/>
        <v>0</v>
      </c>
      <c r="P146" s="191"/>
      <c r="Q146" s="78"/>
      <c r="R146" s="110"/>
      <c r="S146" s="110"/>
    </row>
    <row r="147" spans="2:19" x14ac:dyDescent="0.2">
      <c r="B147" s="76"/>
      <c r="C147" s="191"/>
      <c r="D147" s="535" t="s">
        <v>867</v>
      </c>
      <c r="E147" s="191"/>
      <c r="F147" s="558"/>
      <c r="G147" s="191"/>
      <c r="H147" s="1271"/>
      <c r="I147" s="1271"/>
      <c r="J147" s="67">
        <v>0</v>
      </c>
      <c r="K147" s="67">
        <f t="shared" si="42"/>
        <v>0</v>
      </c>
      <c r="L147" s="67">
        <f t="shared" si="42"/>
        <v>0</v>
      </c>
      <c r="M147" s="67">
        <f t="shared" si="42"/>
        <v>0</v>
      </c>
      <c r="N147" s="67">
        <f t="shared" si="42"/>
        <v>0</v>
      </c>
      <c r="O147" s="67">
        <f t="shared" si="42"/>
        <v>0</v>
      </c>
      <c r="P147" s="191"/>
      <c r="Q147" s="78"/>
      <c r="R147" s="110"/>
      <c r="S147" s="110"/>
    </row>
    <row r="148" spans="2:19" x14ac:dyDescent="0.2">
      <c r="B148" s="76"/>
      <c r="C148" s="191"/>
      <c r="D148" s="534" t="s">
        <v>130</v>
      </c>
      <c r="E148" s="191"/>
      <c r="F148" s="558"/>
      <c r="G148" s="191"/>
      <c r="H148" s="1271"/>
      <c r="I148" s="1271"/>
      <c r="J148" s="67">
        <v>0</v>
      </c>
      <c r="K148" s="67">
        <f t="shared" si="42"/>
        <v>0</v>
      </c>
      <c r="L148" s="67">
        <f t="shared" si="42"/>
        <v>0</v>
      </c>
      <c r="M148" s="67">
        <f t="shared" si="42"/>
        <v>0</v>
      </c>
      <c r="N148" s="67">
        <f t="shared" si="42"/>
        <v>0</v>
      </c>
      <c r="O148" s="67">
        <f t="shared" si="42"/>
        <v>0</v>
      </c>
      <c r="P148" s="191"/>
      <c r="Q148" s="78"/>
      <c r="R148" s="110"/>
      <c r="S148" s="110"/>
    </row>
    <row r="149" spans="2:19" x14ac:dyDescent="0.2">
      <c r="B149" s="76"/>
      <c r="C149" s="191"/>
      <c r="D149" s="535" t="s">
        <v>121</v>
      </c>
      <c r="E149" s="191"/>
      <c r="F149" s="558"/>
      <c r="G149" s="191"/>
      <c r="H149" s="1271"/>
      <c r="I149" s="1271"/>
      <c r="J149" s="67">
        <v>0</v>
      </c>
      <c r="K149" s="67">
        <f t="shared" si="42"/>
        <v>0</v>
      </c>
      <c r="L149" s="67">
        <f t="shared" si="42"/>
        <v>0</v>
      </c>
      <c r="M149" s="67">
        <f t="shared" si="42"/>
        <v>0</v>
      </c>
      <c r="N149" s="67">
        <f t="shared" si="42"/>
        <v>0</v>
      </c>
      <c r="O149" s="67">
        <f t="shared" si="42"/>
        <v>0</v>
      </c>
      <c r="P149" s="191"/>
      <c r="Q149" s="78"/>
      <c r="R149" s="110"/>
      <c r="S149" s="110"/>
    </row>
    <row r="150" spans="2:19" x14ac:dyDescent="0.2">
      <c r="B150" s="76"/>
      <c r="C150" s="191"/>
      <c r="D150" s="534"/>
      <c r="E150" s="191"/>
      <c r="F150" s="558"/>
      <c r="G150" s="191"/>
      <c r="H150" s="1271"/>
      <c r="I150" s="1271"/>
      <c r="J150" s="67">
        <v>0</v>
      </c>
      <c r="K150" s="67">
        <f t="shared" ref="K150:K152" si="43">+J150</f>
        <v>0</v>
      </c>
      <c r="L150" s="67">
        <f t="shared" ref="L150:L152" si="44">+K150</f>
        <v>0</v>
      </c>
      <c r="M150" s="67">
        <f t="shared" ref="M150:M152" si="45">+L150</f>
        <v>0</v>
      </c>
      <c r="N150" s="67">
        <f t="shared" ref="N150:N152" si="46">+M150</f>
        <v>0</v>
      </c>
      <c r="O150" s="67">
        <f t="shared" ref="O150:O152" si="47">+N150</f>
        <v>0</v>
      </c>
      <c r="P150" s="191"/>
      <c r="Q150" s="78"/>
      <c r="R150" s="110"/>
      <c r="S150" s="110"/>
    </row>
    <row r="151" spans="2:19" x14ac:dyDescent="0.2">
      <c r="B151" s="76"/>
      <c r="C151" s="191"/>
      <c r="D151" s="535"/>
      <c r="E151" s="191"/>
      <c r="F151" s="558"/>
      <c r="G151" s="191"/>
      <c r="H151" s="1271"/>
      <c r="I151" s="1271"/>
      <c r="J151" s="67">
        <v>0</v>
      </c>
      <c r="K151" s="67">
        <f t="shared" si="43"/>
        <v>0</v>
      </c>
      <c r="L151" s="67">
        <f t="shared" si="44"/>
        <v>0</v>
      </c>
      <c r="M151" s="67">
        <f t="shared" si="45"/>
        <v>0</v>
      </c>
      <c r="N151" s="67">
        <f t="shared" si="46"/>
        <v>0</v>
      </c>
      <c r="O151" s="67">
        <f t="shared" si="47"/>
        <v>0</v>
      </c>
      <c r="P151" s="191"/>
      <c r="Q151" s="78"/>
      <c r="R151" s="110"/>
      <c r="S151" s="110"/>
    </row>
    <row r="152" spans="2:19" x14ac:dyDescent="0.2">
      <c r="B152" s="76"/>
      <c r="C152" s="191"/>
      <c r="D152" s="535"/>
      <c r="E152" s="191"/>
      <c r="F152" s="558"/>
      <c r="G152" s="191"/>
      <c r="H152" s="1271"/>
      <c r="I152" s="1271"/>
      <c r="J152" s="67">
        <v>0</v>
      </c>
      <c r="K152" s="67">
        <f t="shared" si="43"/>
        <v>0</v>
      </c>
      <c r="L152" s="67">
        <f t="shared" si="44"/>
        <v>0</v>
      </c>
      <c r="M152" s="67">
        <f t="shared" si="45"/>
        <v>0</v>
      </c>
      <c r="N152" s="67">
        <f t="shared" si="46"/>
        <v>0</v>
      </c>
      <c r="O152" s="67">
        <f t="shared" si="47"/>
        <v>0</v>
      </c>
      <c r="P152" s="191"/>
      <c r="Q152" s="78"/>
      <c r="R152" s="110"/>
      <c r="S152" s="110"/>
    </row>
    <row r="153" spans="2:19" x14ac:dyDescent="0.2">
      <c r="B153" s="76"/>
      <c r="C153" s="191"/>
      <c r="D153" s="199"/>
      <c r="E153" s="191"/>
      <c r="F153" s="71"/>
      <c r="G153" s="191"/>
      <c r="H153" s="959"/>
      <c r="I153" s="959"/>
      <c r="J153" s="545">
        <f t="shared" ref="J153" si="48">SUM(J145:J152)</f>
        <v>0</v>
      </c>
      <c r="K153" s="545">
        <f>SUM(K143:K152)</f>
        <v>0</v>
      </c>
      <c r="L153" s="545">
        <f t="shared" ref="L153:O153" si="49">SUM(L143:L152)</f>
        <v>0</v>
      </c>
      <c r="M153" s="545">
        <f t="shared" si="49"/>
        <v>0</v>
      </c>
      <c r="N153" s="545">
        <f t="shared" si="49"/>
        <v>0</v>
      </c>
      <c r="O153" s="545">
        <f t="shared" si="49"/>
        <v>0</v>
      </c>
      <c r="P153" s="191"/>
      <c r="Q153" s="78"/>
      <c r="R153" s="110"/>
      <c r="S153" s="110"/>
    </row>
    <row r="154" spans="2:19" x14ac:dyDescent="0.2">
      <c r="B154" s="76"/>
      <c r="C154" s="191"/>
      <c r="D154" s="1561"/>
      <c r="E154" s="1562"/>
      <c r="F154" s="1563"/>
      <c r="G154" s="1562"/>
      <c r="H154" s="1563"/>
      <c r="I154" s="1563"/>
      <c r="J154" s="1563"/>
      <c r="K154" s="1563"/>
      <c r="L154" s="1563"/>
      <c r="M154" s="1563"/>
      <c r="N154" s="1563"/>
      <c r="O154" s="1563"/>
      <c r="P154" s="191"/>
      <c r="Q154" s="78"/>
      <c r="R154" s="110"/>
      <c r="S154" s="110"/>
    </row>
    <row r="155" spans="2:19" x14ac:dyDescent="0.2">
      <c r="B155" s="76"/>
      <c r="C155" s="191"/>
      <c r="D155" s="1565"/>
      <c r="E155" s="1566"/>
      <c r="F155" s="1567"/>
      <c r="G155" s="1566"/>
      <c r="H155" s="1567"/>
      <c r="I155" s="1567"/>
      <c r="J155" s="1567"/>
      <c r="K155" s="1567"/>
      <c r="L155" s="1567"/>
      <c r="M155" s="1567"/>
      <c r="N155" s="1567"/>
      <c r="O155" s="1567"/>
      <c r="P155" s="191"/>
      <c r="Q155" s="78"/>
      <c r="R155" s="110"/>
      <c r="S155" s="110"/>
    </row>
    <row r="156" spans="2:19" x14ac:dyDescent="0.2">
      <c r="B156" s="76"/>
      <c r="C156" s="191"/>
      <c r="D156" s="199" t="s">
        <v>64</v>
      </c>
      <c r="E156" s="35"/>
      <c r="F156" s="188"/>
      <c r="G156" s="35"/>
      <c r="H156" s="1272"/>
      <c r="I156" s="1272"/>
      <c r="J156" s="35"/>
      <c r="K156" s="35"/>
      <c r="L156" s="35"/>
      <c r="M156" s="35"/>
      <c r="N156" s="35"/>
      <c r="O156" s="35"/>
      <c r="P156" s="191"/>
      <c r="Q156" s="78"/>
      <c r="R156" s="110"/>
      <c r="S156" s="110"/>
    </row>
    <row r="157" spans="2:19" x14ac:dyDescent="0.2">
      <c r="B157" s="76"/>
      <c r="C157" s="191"/>
      <c r="D157" s="191" t="s">
        <v>544</v>
      </c>
      <c r="E157" s="191"/>
      <c r="F157" s="558"/>
      <c r="G157" s="191"/>
      <c r="H157" s="668"/>
      <c r="I157" s="668"/>
      <c r="J157" s="68">
        <f>+'overdr VSO'!I21</f>
        <v>0</v>
      </c>
      <c r="K157" s="68">
        <f>+'overdr VSO'!J21</f>
        <v>0</v>
      </c>
      <c r="L157" s="68">
        <f>+'overdr VSO'!K21</f>
        <v>0</v>
      </c>
      <c r="M157" s="68">
        <f>+'overdr VSO'!L21</f>
        <v>0</v>
      </c>
      <c r="N157" s="68">
        <f>+'overdr VSO'!M21</f>
        <v>0</v>
      </c>
      <c r="O157" s="68">
        <f>+'overdr VSO'!N21</f>
        <v>0</v>
      </c>
      <c r="P157" s="191"/>
      <c r="Q157" s="78"/>
      <c r="R157" s="110"/>
      <c r="S157" s="110"/>
    </row>
    <row r="158" spans="2:19" x14ac:dyDescent="0.2">
      <c r="B158" s="76"/>
      <c r="C158" s="191"/>
      <c r="D158" s="191" t="s">
        <v>545</v>
      </c>
      <c r="E158" s="191"/>
      <c r="F158" s="558"/>
      <c r="G158" s="191"/>
      <c r="H158" s="668"/>
      <c r="I158" s="668"/>
      <c r="J158" s="1554">
        <v>0</v>
      </c>
      <c r="K158" s="1554">
        <f>+J158</f>
        <v>0</v>
      </c>
      <c r="L158" s="1554">
        <f t="shared" ref="L158:O158" si="50">+K158</f>
        <v>0</v>
      </c>
      <c r="M158" s="1554">
        <f t="shared" si="50"/>
        <v>0</v>
      </c>
      <c r="N158" s="1554">
        <f t="shared" si="50"/>
        <v>0</v>
      </c>
      <c r="O158" s="1554">
        <f t="shared" si="50"/>
        <v>0</v>
      </c>
      <c r="P158" s="191"/>
      <c r="Q158" s="78"/>
      <c r="R158" s="110"/>
      <c r="S158" s="110"/>
    </row>
    <row r="159" spans="2:19" x14ac:dyDescent="0.2">
      <c r="B159" s="76"/>
      <c r="C159" s="191"/>
      <c r="D159" s="191" t="s">
        <v>546</v>
      </c>
      <c r="E159" s="191"/>
      <c r="F159" s="870"/>
      <c r="G159" s="191"/>
      <c r="H159" s="662"/>
      <c r="I159" s="662"/>
      <c r="J159" s="659">
        <f t="shared" ref="J159:O159" si="51">SUM(J157:J158)</f>
        <v>0</v>
      </c>
      <c r="K159" s="659">
        <f t="shared" si="51"/>
        <v>0</v>
      </c>
      <c r="L159" s="659">
        <f t="shared" si="51"/>
        <v>0</v>
      </c>
      <c r="M159" s="659">
        <f t="shared" si="51"/>
        <v>0</v>
      </c>
      <c r="N159" s="659">
        <f t="shared" si="51"/>
        <v>0</v>
      </c>
      <c r="O159" s="659">
        <f t="shared" si="51"/>
        <v>0</v>
      </c>
      <c r="P159" s="191"/>
      <c r="Q159" s="78"/>
      <c r="R159" s="110"/>
      <c r="S159" s="110"/>
    </row>
    <row r="160" spans="2:19" x14ac:dyDescent="0.2">
      <c r="B160" s="76"/>
      <c r="C160" s="191"/>
      <c r="D160" s="661"/>
      <c r="E160" s="661"/>
      <c r="F160" s="870"/>
      <c r="G160" s="661"/>
      <c r="H160" s="662"/>
      <c r="I160" s="662"/>
      <c r="J160" s="662"/>
      <c r="K160" s="662"/>
      <c r="L160" s="662"/>
      <c r="M160" s="662"/>
      <c r="N160" s="662"/>
      <c r="O160" s="662"/>
      <c r="P160" s="661"/>
      <c r="Q160" s="78"/>
      <c r="R160" s="110"/>
      <c r="S160" s="110"/>
    </row>
    <row r="161" spans="2:19" x14ac:dyDescent="0.2">
      <c r="B161" s="76"/>
      <c r="C161" s="191"/>
      <c r="D161" s="535" t="s">
        <v>427</v>
      </c>
      <c r="E161" s="191"/>
      <c r="F161" s="558"/>
      <c r="G161" s="191"/>
      <c r="H161" s="1271"/>
      <c r="I161" s="1271"/>
      <c r="J161" s="67">
        <v>0</v>
      </c>
      <c r="K161" s="537">
        <f t="shared" ref="K161:K168" si="52">J161</f>
        <v>0</v>
      </c>
      <c r="L161" s="537">
        <f t="shared" ref="L161:L168" si="53">K161</f>
        <v>0</v>
      </c>
      <c r="M161" s="537">
        <f t="shared" ref="M161:M168" si="54">L161</f>
        <v>0</v>
      </c>
      <c r="N161" s="537">
        <f t="shared" ref="N161:N168" si="55">M161</f>
        <v>0</v>
      </c>
      <c r="O161" s="537">
        <f t="shared" ref="O161:O168" si="56">N161</f>
        <v>0</v>
      </c>
      <c r="P161" s="191"/>
      <c r="Q161" s="78"/>
      <c r="R161" s="110"/>
      <c r="S161" s="110"/>
    </row>
    <row r="162" spans="2:19" x14ac:dyDescent="0.2">
      <c r="B162" s="76"/>
      <c r="C162" s="191"/>
      <c r="D162" s="535" t="s">
        <v>428</v>
      </c>
      <c r="E162" s="191"/>
      <c r="F162" s="558"/>
      <c r="G162" s="191"/>
      <c r="H162" s="1271"/>
      <c r="I162" s="1271"/>
      <c r="J162" s="67">
        <v>0</v>
      </c>
      <c r="K162" s="537">
        <f t="shared" si="52"/>
        <v>0</v>
      </c>
      <c r="L162" s="537">
        <f t="shared" si="53"/>
        <v>0</v>
      </c>
      <c r="M162" s="537">
        <f t="shared" si="54"/>
        <v>0</v>
      </c>
      <c r="N162" s="537">
        <f t="shared" si="55"/>
        <v>0</v>
      </c>
      <c r="O162" s="537">
        <f t="shared" si="56"/>
        <v>0</v>
      </c>
      <c r="P162" s="191"/>
      <c r="Q162" s="78"/>
      <c r="R162" s="110"/>
      <c r="S162" s="110"/>
    </row>
    <row r="163" spans="2:19" x14ac:dyDescent="0.2">
      <c r="B163" s="76"/>
      <c r="C163" s="191"/>
      <c r="D163" s="535" t="s">
        <v>867</v>
      </c>
      <c r="E163" s="191"/>
      <c r="F163" s="558"/>
      <c r="G163" s="191"/>
      <c r="H163" s="1271"/>
      <c r="I163" s="1271"/>
      <c r="J163" s="67">
        <v>0</v>
      </c>
      <c r="K163" s="537">
        <f t="shared" si="52"/>
        <v>0</v>
      </c>
      <c r="L163" s="537">
        <f t="shared" si="53"/>
        <v>0</v>
      </c>
      <c r="M163" s="537">
        <f t="shared" si="54"/>
        <v>0</v>
      </c>
      <c r="N163" s="537">
        <f t="shared" si="55"/>
        <v>0</v>
      </c>
      <c r="O163" s="537">
        <f t="shared" si="56"/>
        <v>0</v>
      </c>
      <c r="P163" s="191"/>
      <c r="Q163" s="78"/>
      <c r="R163" s="110"/>
      <c r="S163" s="110"/>
    </row>
    <row r="164" spans="2:19" x14ac:dyDescent="0.2">
      <c r="B164" s="76"/>
      <c r="C164" s="191"/>
      <c r="D164" s="534" t="s">
        <v>130</v>
      </c>
      <c r="E164" s="191"/>
      <c r="F164" s="558"/>
      <c r="G164" s="191"/>
      <c r="H164" s="1271"/>
      <c r="I164" s="1271"/>
      <c r="J164" s="67">
        <v>0</v>
      </c>
      <c r="K164" s="537">
        <f t="shared" si="52"/>
        <v>0</v>
      </c>
      <c r="L164" s="537">
        <f t="shared" si="53"/>
        <v>0</v>
      </c>
      <c r="M164" s="537">
        <f t="shared" si="54"/>
        <v>0</v>
      </c>
      <c r="N164" s="537">
        <f t="shared" si="55"/>
        <v>0</v>
      </c>
      <c r="O164" s="537">
        <f t="shared" si="56"/>
        <v>0</v>
      </c>
      <c r="P164" s="191"/>
      <c r="Q164" s="78"/>
      <c r="R164" s="110"/>
      <c r="S164" s="110"/>
    </row>
    <row r="165" spans="2:19" x14ac:dyDescent="0.2">
      <c r="B165" s="76"/>
      <c r="C165" s="191"/>
      <c r="D165" s="535" t="s">
        <v>121</v>
      </c>
      <c r="E165" s="191"/>
      <c r="F165" s="558"/>
      <c r="G165" s="191"/>
      <c r="H165" s="1271"/>
      <c r="I165" s="1271"/>
      <c r="J165" s="67">
        <v>0</v>
      </c>
      <c r="K165" s="537">
        <f t="shared" si="52"/>
        <v>0</v>
      </c>
      <c r="L165" s="537">
        <f t="shared" si="53"/>
        <v>0</v>
      </c>
      <c r="M165" s="537">
        <f t="shared" si="54"/>
        <v>0</v>
      </c>
      <c r="N165" s="537">
        <f t="shared" si="55"/>
        <v>0</v>
      </c>
      <c r="O165" s="537">
        <f t="shared" si="56"/>
        <v>0</v>
      </c>
      <c r="P165" s="191"/>
      <c r="Q165" s="78"/>
      <c r="R165" s="110"/>
      <c r="S165" s="110"/>
    </row>
    <row r="166" spans="2:19" x14ac:dyDescent="0.2">
      <c r="B166" s="76"/>
      <c r="C166" s="191"/>
      <c r="D166" s="535"/>
      <c r="E166" s="191"/>
      <c r="F166" s="558"/>
      <c r="G166" s="191"/>
      <c r="H166" s="1271"/>
      <c r="I166" s="1271"/>
      <c r="J166" s="67">
        <v>0</v>
      </c>
      <c r="K166" s="537">
        <f t="shared" si="52"/>
        <v>0</v>
      </c>
      <c r="L166" s="537">
        <f t="shared" si="53"/>
        <v>0</v>
      </c>
      <c r="M166" s="537">
        <f t="shared" si="54"/>
        <v>0</v>
      </c>
      <c r="N166" s="537">
        <f t="shared" si="55"/>
        <v>0</v>
      </c>
      <c r="O166" s="537">
        <f t="shared" si="56"/>
        <v>0</v>
      </c>
      <c r="P166" s="191"/>
      <c r="Q166" s="78"/>
      <c r="R166" s="110"/>
      <c r="S166" s="110"/>
    </row>
    <row r="167" spans="2:19" x14ac:dyDescent="0.2">
      <c r="B167" s="76"/>
      <c r="C167" s="191"/>
      <c r="D167" s="535"/>
      <c r="E167" s="191"/>
      <c r="F167" s="558"/>
      <c r="G167" s="191"/>
      <c r="H167" s="1271"/>
      <c r="I167" s="1271"/>
      <c r="J167" s="67">
        <v>0</v>
      </c>
      <c r="K167" s="537">
        <f t="shared" si="52"/>
        <v>0</v>
      </c>
      <c r="L167" s="537">
        <f t="shared" si="53"/>
        <v>0</v>
      </c>
      <c r="M167" s="537">
        <f t="shared" si="54"/>
        <v>0</v>
      </c>
      <c r="N167" s="537">
        <f t="shared" si="55"/>
        <v>0</v>
      </c>
      <c r="O167" s="537">
        <f t="shared" si="56"/>
        <v>0</v>
      </c>
      <c r="P167" s="191"/>
      <c r="Q167" s="78"/>
      <c r="R167" s="110"/>
      <c r="S167" s="110"/>
    </row>
    <row r="168" spans="2:19" x14ac:dyDescent="0.2">
      <c r="B168" s="76"/>
      <c r="C168" s="191"/>
      <c r="D168" s="535"/>
      <c r="E168" s="191"/>
      <c r="F168" s="558"/>
      <c r="G168" s="191"/>
      <c r="H168" s="1271"/>
      <c r="I168" s="1271"/>
      <c r="J168" s="67">
        <v>0</v>
      </c>
      <c r="K168" s="537">
        <f t="shared" si="52"/>
        <v>0</v>
      </c>
      <c r="L168" s="537">
        <f t="shared" si="53"/>
        <v>0</v>
      </c>
      <c r="M168" s="537">
        <f t="shared" si="54"/>
        <v>0</v>
      </c>
      <c r="N168" s="537">
        <f t="shared" si="55"/>
        <v>0</v>
      </c>
      <c r="O168" s="537">
        <f t="shared" si="56"/>
        <v>0</v>
      </c>
      <c r="P168" s="191"/>
      <c r="Q168" s="78"/>
      <c r="R168" s="110"/>
      <c r="S168" s="110"/>
    </row>
    <row r="169" spans="2:19" x14ac:dyDescent="0.2">
      <c r="B169" s="76"/>
      <c r="C169" s="191"/>
      <c r="D169" s="200"/>
      <c r="E169" s="191"/>
      <c r="F169" s="200"/>
      <c r="G169" s="191"/>
      <c r="H169" s="959"/>
      <c r="I169" s="959"/>
      <c r="J169" s="545">
        <f t="shared" ref="J169:O169" si="57">SUM(J159:J168)</f>
        <v>0</v>
      </c>
      <c r="K169" s="545">
        <f t="shared" si="57"/>
        <v>0</v>
      </c>
      <c r="L169" s="545">
        <f t="shared" si="57"/>
        <v>0</v>
      </c>
      <c r="M169" s="545">
        <f t="shared" si="57"/>
        <v>0</v>
      </c>
      <c r="N169" s="545">
        <f t="shared" si="57"/>
        <v>0</v>
      </c>
      <c r="O169" s="545">
        <f t="shared" si="57"/>
        <v>0</v>
      </c>
      <c r="P169" s="191"/>
      <c r="Q169" s="78"/>
      <c r="R169" s="110"/>
      <c r="S169" s="110"/>
    </row>
    <row r="170" spans="2:19" x14ac:dyDescent="0.2">
      <c r="B170" s="76"/>
      <c r="C170" s="191"/>
      <c r="D170" s="1561"/>
      <c r="E170" s="1562"/>
      <c r="F170" s="1563"/>
      <c r="G170" s="1562"/>
      <c r="H170" s="1563"/>
      <c r="I170" s="1563"/>
      <c r="J170" s="1563"/>
      <c r="K170" s="1563"/>
      <c r="L170" s="1563"/>
      <c r="M170" s="1563"/>
      <c r="N170" s="1563"/>
      <c r="O170" s="1563"/>
      <c r="P170" s="191"/>
      <c r="Q170" s="78"/>
      <c r="R170" s="110"/>
      <c r="S170" s="110"/>
    </row>
    <row r="171" spans="2:19" x14ac:dyDescent="0.2">
      <c r="B171" s="76"/>
      <c r="C171" s="191"/>
      <c r="D171" s="1624" t="s">
        <v>548</v>
      </c>
      <c r="E171" s="1625"/>
      <c r="F171" s="1626"/>
      <c r="G171" s="1625"/>
      <c r="H171" s="1626"/>
      <c r="I171" s="1626"/>
      <c r="J171" s="1626"/>
      <c r="K171" s="1626"/>
      <c r="L171" s="1626"/>
      <c r="M171" s="1626"/>
      <c r="N171" s="1626"/>
      <c r="O171" s="1626"/>
      <c r="P171" s="191"/>
      <c r="Q171" s="78"/>
      <c r="R171" s="110"/>
      <c r="S171" s="110"/>
    </row>
    <row r="172" spans="2:19" x14ac:dyDescent="0.2">
      <c r="B172" s="76"/>
      <c r="C172" s="191"/>
      <c r="D172" s="190" t="s">
        <v>525</v>
      </c>
      <c r="E172" s="35"/>
      <c r="F172" s="186"/>
      <c r="G172" s="35"/>
      <c r="H172" s="939"/>
      <c r="I172" s="939"/>
      <c r="J172" s="186"/>
      <c r="K172" s="186"/>
      <c r="L172" s="186"/>
      <c r="M172" s="186"/>
      <c r="N172" s="186"/>
      <c r="O172" s="186"/>
      <c r="P172" s="191"/>
      <c r="Q172" s="78"/>
      <c r="R172" s="110"/>
      <c r="S172" s="110"/>
    </row>
    <row r="173" spans="2:19" x14ac:dyDescent="0.2">
      <c r="B173" s="76"/>
      <c r="C173" s="191"/>
      <c r="D173" s="35" t="str">
        <f>+pers!D195</f>
        <v>project 1</v>
      </c>
      <c r="E173" s="35"/>
      <c r="F173" s="43"/>
      <c r="G173" s="35"/>
      <c r="H173" s="1268"/>
      <c r="I173" s="1268"/>
      <c r="J173" s="871">
        <f>project!H27</f>
        <v>0</v>
      </c>
      <c r="K173" s="871">
        <f>project!I27</f>
        <v>0</v>
      </c>
      <c r="L173" s="871">
        <f>project!J27</f>
        <v>0</v>
      </c>
      <c r="M173" s="871">
        <f>project!K27</f>
        <v>0</v>
      </c>
      <c r="N173" s="871">
        <f>project!L27</f>
        <v>0</v>
      </c>
      <c r="O173" s="871">
        <f>project!M27</f>
        <v>0</v>
      </c>
      <c r="P173" s="191"/>
      <c r="Q173" s="78"/>
      <c r="R173" s="110"/>
      <c r="S173" s="110"/>
    </row>
    <row r="174" spans="2:19" x14ac:dyDescent="0.2">
      <c r="B174" s="76"/>
      <c r="C174" s="191"/>
      <c r="D174" s="35" t="str">
        <f>+pers!D196</f>
        <v>project 2</v>
      </c>
      <c r="E174" s="35"/>
      <c r="F174" s="43"/>
      <c r="G174" s="35"/>
      <c r="H174" s="1268"/>
      <c r="I174" s="1268"/>
      <c r="J174" s="871">
        <f>project!H47</f>
        <v>0</v>
      </c>
      <c r="K174" s="871">
        <f>project!I47</f>
        <v>0</v>
      </c>
      <c r="L174" s="871">
        <f>project!J47</f>
        <v>0</v>
      </c>
      <c r="M174" s="871">
        <f>project!K47</f>
        <v>0</v>
      </c>
      <c r="N174" s="871">
        <f>project!L47</f>
        <v>0</v>
      </c>
      <c r="O174" s="871">
        <f>project!M47</f>
        <v>0</v>
      </c>
      <c r="P174" s="191"/>
      <c r="Q174" s="78"/>
      <c r="R174" s="110"/>
      <c r="S174" s="110"/>
    </row>
    <row r="175" spans="2:19" x14ac:dyDescent="0.2">
      <c r="B175" s="76"/>
      <c r="C175" s="191"/>
      <c r="D175" s="35" t="str">
        <f>+pers!D197</f>
        <v>project 3</v>
      </c>
      <c r="E175" s="35"/>
      <c r="F175" s="43"/>
      <c r="G175" s="35"/>
      <c r="H175" s="1268"/>
      <c r="I175" s="1268"/>
      <c r="J175" s="871">
        <f>project!H67</f>
        <v>0</v>
      </c>
      <c r="K175" s="871">
        <f>project!I67</f>
        <v>0</v>
      </c>
      <c r="L175" s="871">
        <f>project!J67</f>
        <v>0</v>
      </c>
      <c r="M175" s="871">
        <f>project!K67</f>
        <v>0</v>
      </c>
      <c r="N175" s="871">
        <f>project!L67</f>
        <v>0</v>
      </c>
      <c r="O175" s="871">
        <f>project!M67</f>
        <v>0</v>
      </c>
      <c r="P175" s="191"/>
      <c r="Q175" s="78"/>
      <c r="R175" s="110"/>
      <c r="S175" s="110"/>
    </row>
    <row r="176" spans="2:19" x14ac:dyDescent="0.2">
      <c r="B176" s="76"/>
      <c r="C176" s="191"/>
      <c r="D176" s="35" t="str">
        <f>+pers!D198</f>
        <v>project 4</v>
      </c>
      <c r="E176" s="35"/>
      <c r="F176" s="43"/>
      <c r="G176" s="35"/>
      <c r="H176" s="1268"/>
      <c r="I176" s="1268"/>
      <c r="J176" s="871">
        <f>project!H87</f>
        <v>0</v>
      </c>
      <c r="K176" s="871">
        <f>project!I87</f>
        <v>0</v>
      </c>
      <c r="L176" s="871">
        <f>project!J87</f>
        <v>0</v>
      </c>
      <c r="M176" s="871">
        <f>project!K87</f>
        <v>0</v>
      </c>
      <c r="N176" s="871">
        <f>project!L87</f>
        <v>0</v>
      </c>
      <c r="O176" s="871">
        <f>project!M87</f>
        <v>0</v>
      </c>
      <c r="P176" s="191"/>
      <c r="Q176" s="78"/>
      <c r="R176" s="110"/>
      <c r="S176" s="110"/>
    </row>
    <row r="177" spans="2:19" x14ac:dyDescent="0.2">
      <c r="B177" s="76"/>
      <c r="C177" s="191"/>
      <c r="D177" s="35" t="str">
        <f>+pers!D199</f>
        <v>project 5</v>
      </c>
      <c r="E177" s="35"/>
      <c r="F177" s="43"/>
      <c r="G177" s="35"/>
      <c r="H177" s="1268"/>
      <c r="I177" s="1268"/>
      <c r="J177" s="871">
        <f>project!H107</f>
        <v>0</v>
      </c>
      <c r="K177" s="871">
        <f>project!I107</f>
        <v>0</v>
      </c>
      <c r="L177" s="871">
        <f>project!J107</f>
        <v>0</v>
      </c>
      <c r="M177" s="871">
        <f>project!K107</f>
        <v>0</v>
      </c>
      <c r="N177" s="871">
        <f>project!L107</f>
        <v>0</v>
      </c>
      <c r="O177" s="871">
        <f>project!M107</f>
        <v>0</v>
      </c>
      <c r="P177" s="191"/>
      <c r="Q177" s="78"/>
      <c r="R177" s="110"/>
      <c r="S177" s="110"/>
    </row>
    <row r="178" spans="2:19" x14ac:dyDescent="0.2">
      <c r="B178" s="76"/>
      <c r="C178" s="191"/>
      <c r="D178" s="35" t="str">
        <f>+pers!D200</f>
        <v>project 6</v>
      </c>
      <c r="E178" s="35"/>
      <c r="F178" s="43"/>
      <c r="G178" s="35"/>
      <c r="H178" s="1268"/>
      <c r="I178" s="1268"/>
      <c r="J178" s="871">
        <f>project!H130</f>
        <v>0</v>
      </c>
      <c r="K178" s="871">
        <f>project!I130</f>
        <v>0</v>
      </c>
      <c r="L178" s="871">
        <f>project!J130</f>
        <v>0</v>
      </c>
      <c r="M178" s="871">
        <f>project!K130</f>
        <v>0</v>
      </c>
      <c r="N178" s="871">
        <f>project!L130</f>
        <v>0</v>
      </c>
      <c r="O178" s="871">
        <f>project!M130</f>
        <v>0</v>
      </c>
      <c r="P178" s="191"/>
      <c r="Q178" s="78"/>
      <c r="R178" s="110"/>
      <c r="S178" s="110"/>
    </row>
    <row r="179" spans="2:19" x14ac:dyDescent="0.2">
      <c r="B179" s="76"/>
      <c r="C179" s="191"/>
      <c r="D179" s="35" t="str">
        <f>+pers!D201</f>
        <v>project 7</v>
      </c>
      <c r="E179" s="35"/>
      <c r="F179" s="43"/>
      <c r="G179" s="35"/>
      <c r="H179" s="1268"/>
      <c r="I179" s="1268"/>
      <c r="J179" s="871">
        <f>project!H150</f>
        <v>0</v>
      </c>
      <c r="K179" s="871">
        <f>project!I150</f>
        <v>0</v>
      </c>
      <c r="L179" s="871">
        <f>project!J150</f>
        <v>0</v>
      </c>
      <c r="M179" s="871">
        <f>project!K150</f>
        <v>0</v>
      </c>
      <c r="N179" s="871">
        <f>project!L150</f>
        <v>0</v>
      </c>
      <c r="O179" s="871">
        <f>project!M150</f>
        <v>0</v>
      </c>
      <c r="P179" s="191"/>
      <c r="Q179" s="78"/>
      <c r="R179" s="110"/>
      <c r="S179" s="110"/>
    </row>
    <row r="180" spans="2:19" x14ac:dyDescent="0.2">
      <c r="B180" s="76"/>
      <c r="C180" s="191"/>
      <c r="D180" s="35" t="str">
        <f>+pers!D202</f>
        <v>project 8</v>
      </c>
      <c r="E180" s="35"/>
      <c r="F180" s="43"/>
      <c r="G180" s="35"/>
      <c r="H180" s="1268"/>
      <c r="I180" s="1268"/>
      <c r="J180" s="871">
        <f>project!H170</f>
        <v>0</v>
      </c>
      <c r="K180" s="871">
        <f>project!I170</f>
        <v>0</v>
      </c>
      <c r="L180" s="871">
        <f>project!J170</f>
        <v>0</v>
      </c>
      <c r="M180" s="871">
        <f>project!K170</f>
        <v>0</v>
      </c>
      <c r="N180" s="871">
        <f>project!L170</f>
        <v>0</v>
      </c>
      <c r="O180" s="871">
        <f>project!M170</f>
        <v>0</v>
      </c>
      <c r="P180" s="191"/>
      <c r="Q180" s="78"/>
      <c r="R180" s="110"/>
      <c r="S180" s="110"/>
    </row>
    <row r="181" spans="2:19" x14ac:dyDescent="0.2">
      <c r="B181" s="76"/>
      <c r="C181" s="191"/>
      <c r="D181" s="35" t="str">
        <f>+pers!D203</f>
        <v>project 9</v>
      </c>
      <c r="E181" s="35"/>
      <c r="F181" s="43"/>
      <c r="G181" s="35"/>
      <c r="H181" s="1268"/>
      <c r="I181" s="1268"/>
      <c r="J181" s="871">
        <f>project!H190</f>
        <v>0</v>
      </c>
      <c r="K181" s="871">
        <f>project!I190</f>
        <v>0</v>
      </c>
      <c r="L181" s="871">
        <f>project!J190</f>
        <v>0</v>
      </c>
      <c r="M181" s="871">
        <f>project!K190</f>
        <v>0</v>
      </c>
      <c r="N181" s="871">
        <f>project!L190</f>
        <v>0</v>
      </c>
      <c r="O181" s="871">
        <f>project!M190</f>
        <v>0</v>
      </c>
      <c r="P181" s="191"/>
      <c r="Q181" s="78"/>
      <c r="R181" s="110"/>
      <c r="S181" s="110"/>
    </row>
    <row r="182" spans="2:19" x14ac:dyDescent="0.2">
      <c r="B182" s="76"/>
      <c r="C182" s="191"/>
      <c r="D182" s="35" t="str">
        <f>+pers!D204</f>
        <v>project 10</v>
      </c>
      <c r="E182" s="35"/>
      <c r="F182" s="43"/>
      <c r="G182" s="35"/>
      <c r="H182" s="1268"/>
      <c r="I182" s="1268"/>
      <c r="J182" s="871">
        <f>project!H210</f>
        <v>0</v>
      </c>
      <c r="K182" s="871">
        <f>project!I210</f>
        <v>0</v>
      </c>
      <c r="L182" s="871">
        <f>project!J210</f>
        <v>0</v>
      </c>
      <c r="M182" s="871">
        <f>project!K210</f>
        <v>0</v>
      </c>
      <c r="N182" s="871">
        <f>project!L210</f>
        <v>0</v>
      </c>
      <c r="O182" s="871">
        <f>project!M210</f>
        <v>0</v>
      </c>
      <c r="P182" s="191"/>
      <c r="Q182" s="78"/>
      <c r="R182" s="110"/>
      <c r="S182" s="110"/>
    </row>
    <row r="183" spans="2:19" x14ac:dyDescent="0.2">
      <c r="B183" s="76"/>
      <c r="C183" s="191"/>
      <c r="D183" s="35"/>
      <c r="E183" s="35"/>
      <c r="F183" s="186"/>
      <c r="G183" s="35"/>
      <c r="H183" s="955"/>
      <c r="I183" s="955"/>
      <c r="J183" s="546">
        <f t="shared" ref="J183:O183" si="58">SUM(J173:J182)</f>
        <v>0</v>
      </c>
      <c r="K183" s="546">
        <f t="shared" si="58"/>
        <v>0</v>
      </c>
      <c r="L183" s="546">
        <f t="shared" si="58"/>
        <v>0</v>
      </c>
      <c r="M183" s="546">
        <f t="shared" si="58"/>
        <v>0</v>
      </c>
      <c r="N183" s="546">
        <f t="shared" si="58"/>
        <v>0</v>
      </c>
      <c r="O183" s="546">
        <f t="shared" si="58"/>
        <v>0</v>
      </c>
      <c r="P183" s="191"/>
      <c r="Q183" s="78"/>
      <c r="R183" s="110"/>
      <c r="S183" s="110"/>
    </row>
    <row r="184" spans="2:19" x14ac:dyDescent="0.2">
      <c r="B184" s="76"/>
      <c r="C184" s="191"/>
      <c r="D184" s="539"/>
      <c r="E184" s="540"/>
      <c r="F184" s="541"/>
      <c r="G184" s="540"/>
      <c r="H184" s="541"/>
      <c r="I184" s="541"/>
      <c r="J184" s="541"/>
      <c r="K184" s="541"/>
      <c r="L184" s="541"/>
      <c r="M184" s="541"/>
      <c r="N184" s="541"/>
      <c r="O184" s="541"/>
      <c r="P184" s="191"/>
      <c r="Q184" s="78"/>
      <c r="R184" s="110"/>
      <c r="S184" s="110"/>
    </row>
    <row r="185" spans="2:19" x14ac:dyDescent="0.2">
      <c r="B185" s="76"/>
      <c r="C185" s="191"/>
      <c r="D185" s="538"/>
      <c r="E185" s="508"/>
      <c r="F185" s="79"/>
      <c r="G185" s="508"/>
      <c r="H185" s="79"/>
      <c r="I185" s="79"/>
      <c r="J185" s="79"/>
      <c r="K185" s="79"/>
      <c r="L185" s="79"/>
      <c r="M185" s="79"/>
      <c r="N185" s="79"/>
      <c r="O185" s="79"/>
      <c r="P185" s="191"/>
      <c r="Q185" s="78"/>
      <c r="R185" s="110"/>
      <c r="S185" s="110"/>
    </row>
    <row r="186" spans="2:19" x14ac:dyDescent="0.2">
      <c r="B186" s="76"/>
      <c r="C186" s="191"/>
      <c r="D186" s="199" t="s">
        <v>158</v>
      </c>
      <c r="E186" s="191"/>
      <c r="F186" s="71"/>
      <c r="G186" s="191"/>
      <c r="H186" s="959"/>
      <c r="I186" s="959"/>
      <c r="J186" s="545">
        <f t="shared" ref="J186:O186" si="59">J153+J169+J183</f>
        <v>0</v>
      </c>
      <c r="K186" s="545">
        <f t="shared" si="59"/>
        <v>0</v>
      </c>
      <c r="L186" s="545">
        <f t="shared" si="59"/>
        <v>0</v>
      </c>
      <c r="M186" s="545">
        <f t="shared" si="59"/>
        <v>0</v>
      </c>
      <c r="N186" s="545">
        <f t="shared" si="59"/>
        <v>0</v>
      </c>
      <c r="O186" s="545">
        <f t="shared" si="59"/>
        <v>0</v>
      </c>
      <c r="P186" s="191"/>
      <c r="Q186" s="78"/>
      <c r="R186" s="110"/>
      <c r="S186" s="110"/>
    </row>
    <row r="187" spans="2:19" x14ac:dyDescent="0.2">
      <c r="B187" s="76"/>
      <c r="C187" s="191"/>
      <c r="D187" s="191"/>
      <c r="E187" s="191"/>
      <c r="F187" s="71"/>
      <c r="G187" s="191"/>
      <c r="H187" s="661"/>
      <c r="I187" s="661"/>
      <c r="J187" s="71"/>
      <c r="K187" s="71"/>
      <c r="L187" s="71"/>
      <c r="M187" s="71"/>
      <c r="N187" s="71"/>
      <c r="O187" s="71"/>
      <c r="P187" s="191"/>
      <c r="Q187" s="78"/>
      <c r="R187" s="110"/>
      <c r="S187" s="110"/>
    </row>
    <row r="188" spans="2:19" x14ac:dyDescent="0.2">
      <c r="B188" s="76"/>
      <c r="C188" s="77"/>
      <c r="D188" s="77"/>
      <c r="E188" s="77"/>
      <c r="F188" s="70"/>
      <c r="G188" s="77"/>
      <c r="H188" s="77"/>
      <c r="I188" s="77"/>
      <c r="J188" s="70"/>
      <c r="K188" s="70"/>
      <c r="L188" s="70"/>
      <c r="M188" s="70"/>
      <c r="N188" s="70"/>
      <c r="O188" s="70"/>
      <c r="P188" s="77"/>
      <c r="Q188" s="78"/>
      <c r="R188" s="110"/>
      <c r="S188" s="110"/>
    </row>
    <row r="189" spans="2:19" x14ac:dyDescent="0.2">
      <c r="B189" s="76"/>
      <c r="C189" s="191"/>
      <c r="D189" s="191"/>
      <c r="E189" s="191"/>
      <c r="F189" s="71"/>
      <c r="G189" s="191"/>
      <c r="H189" s="191"/>
      <c r="I189" s="191"/>
      <c r="J189" s="71"/>
      <c r="K189" s="71"/>
      <c r="L189" s="71"/>
      <c r="M189" s="71"/>
      <c r="N189" s="71"/>
      <c r="O189" s="71"/>
      <c r="P189" s="191"/>
      <c r="Q189" s="78"/>
      <c r="R189" s="110"/>
      <c r="S189" s="110"/>
    </row>
    <row r="190" spans="2:19" x14ac:dyDescent="0.2">
      <c r="B190" s="76"/>
      <c r="C190" s="191"/>
      <c r="D190" s="199" t="s">
        <v>205</v>
      </c>
      <c r="E190" s="191"/>
      <c r="F190" s="71"/>
      <c r="G190" s="191"/>
      <c r="H190" s="959"/>
      <c r="I190" s="959"/>
      <c r="J190" s="545">
        <f t="shared" ref="J190:O190" si="60">J114+J134+J186</f>
        <v>0</v>
      </c>
      <c r="K190" s="545">
        <f t="shared" si="60"/>
        <v>0</v>
      </c>
      <c r="L190" s="545">
        <f t="shared" si="60"/>
        <v>0</v>
      </c>
      <c r="M190" s="545">
        <f t="shared" si="60"/>
        <v>0</v>
      </c>
      <c r="N190" s="545">
        <f t="shared" si="60"/>
        <v>0</v>
      </c>
      <c r="O190" s="545">
        <f t="shared" si="60"/>
        <v>0</v>
      </c>
      <c r="P190" s="191"/>
      <c r="Q190" s="78"/>
      <c r="R190" s="110"/>
      <c r="S190" s="110"/>
    </row>
    <row r="191" spans="2:19" x14ac:dyDescent="0.2">
      <c r="B191" s="76"/>
      <c r="C191" s="191"/>
      <c r="D191" s="191"/>
      <c r="E191" s="191"/>
      <c r="F191" s="71"/>
      <c r="G191" s="191"/>
      <c r="H191" s="71"/>
      <c r="I191" s="71"/>
      <c r="J191" s="71"/>
      <c r="K191" s="71"/>
      <c r="L191" s="71"/>
      <c r="M191" s="71"/>
      <c r="N191" s="71"/>
      <c r="O191" s="71"/>
      <c r="P191" s="191"/>
      <c r="Q191" s="78"/>
      <c r="R191" s="110"/>
      <c r="S191" s="110"/>
    </row>
    <row r="192" spans="2:19" x14ac:dyDescent="0.2">
      <c r="B192" s="76"/>
      <c r="C192" s="77"/>
      <c r="D192" s="77"/>
      <c r="E192" s="77"/>
      <c r="F192" s="70"/>
      <c r="G192" s="77"/>
      <c r="H192" s="77"/>
      <c r="I192" s="77"/>
      <c r="J192" s="70"/>
      <c r="K192" s="70"/>
      <c r="L192" s="70"/>
      <c r="M192" s="70"/>
      <c r="N192" s="70"/>
      <c r="O192" s="70"/>
      <c r="P192" s="77"/>
      <c r="Q192" s="78"/>
      <c r="R192" s="110"/>
      <c r="S192" s="110"/>
    </row>
    <row r="193" spans="2:20" x14ac:dyDescent="0.2">
      <c r="B193" s="76"/>
      <c r="C193" s="77"/>
      <c r="D193" s="77"/>
      <c r="E193" s="77"/>
      <c r="F193" s="70"/>
      <c r="G193" s="77"/>
      <c r="H193" s="77"/>
      <c r="I193" s="77"/>
      <c r="J193" s="70"/>
      <c r="K193" s="70"/>
      <c r="L193" s="70"/>
      <c r="M193" s="70"/>
      <c r="N193" s="70"/>
      <c r="O193" s="70"/>
      <c r="P193" s="77"/>
      <c r="Q193" s="78"/>
      <c r="R193" s="110"/>
      <c r="S193" s="110"/>
    </row>
    <row r="194" spans="2:20" x14ac:dyDescent="0.2">
      <c r="B194" s="76"/>
      <c r="C194" s="191"/>
      <c r="D194" s="191"/>
      <c r="E194" s="191"/>
      <c r="F194" s="71"/>
      <c r="G194" s="191"/>
      <c r="H194" s="71"/>
      <c r="I194" s="71"/>
      <c r="J194" s="71"/>
      <c r="K194" s="71"/>
      <c r="L194" s="71"/>
      <c r="M194" s="71"/>
      <c r="N194" s="71"/>
      <c r="O194" s="71"/>
      <c r="P194" s="191"/>
      <c r="Q194" s="78"/>
      <c r="R194" s="110"/>
      <c r="S194" s="110"/>
    </row>
    <row r="195" spans="2:20" x14ac:dyDescent="0.2">
      <c r="B195" s="76"/>
      <c r="C195" s="191"/>
      <c r="D195" s="604" t="s">
        <v>206</v>
      </c>
      <c r="E195" s="191"/>
      <c r="F195" s="71"/>
      <c r="G195" s="191"/>
      <c r="H195" s="959"/>
      <c r="I195" s="959"/>
      <c r="J195" s="545">
        <f t="shared" ref="J195:O195" si="61">J98-J190</f>
        <v>0</v>
      </c>
      <c r="K195" s="545">
        <f t="shared" si="61"/>
        <v>0</v>
      </c>
      <c r="L195" s="545">
        <f t="shared" si="61"/>
        <v>0</v>
      </c>
      <c r="M195" s="545">
        <f t="shared" si="61"/>
        <v>0</v>
      </c>
      <c r="N195" s="545">
        <f t="shared" si="61"/>
        <v>0</v>
      </c>
      <c r="O195" s="545">
        <f t="shared" si="61"/>
        <v>0</v>
      </c>
      <c r="P195" s="191"/>
      <c r="Q195" s="78"/>
      <c r="R195" s="110"/>
      <c r="S195" s="110"/>
    </row>
    <row r="196" spans="2:20" x14ac:dyDescent="0.2">
      <c r="B196" s="76"/>
      <c r="C196" s="191"/>
      <c r="D196" s="191"/>
      <c r="E196" s="191"/>
      <c r="F196" s="71"/>
      <c r="G196" s="191"/>
      <c r="H196" s="661"/>
      <c r="I196" s="661"/>
      <c r="J196" s="71"/>
      <c r="K196" s="71"/>
      <c r="L196" s="71"/>
      <c r="M196" s="71"/>
      <c r="N196" s="71"/>
      <c r="O196" s="71"/>
      <c r="P196" s="191"/>
      <c r="Q196" s="78"/>
      <c r="R196" s="110"/>
      <c r="S196" s="110"/>
    </row>
    <row r="197" spans="2:20" x14ac:dyDescent="0.2">
      <c r="B197" s="76"/>
      <c r="C197" s="77"/>
      <c r="D197" s="77"/>
      <c r="E197" s="77"/>
      <c r="F197" s="70"/>
      <c r="G197" s="77"/>
      <c r="H197" s="77"/>
      <c r="I197" s="77"/>
      <c r="J197" s="70"/>
      <c r="K197" s="70"/>
      <c r="L197" s="70"/>
      <c r="M197" s="70"/>
      <c r="N197" s="70"/>
      <c r="O197" s="70"/>
      <c r="P197" s="77"/>
      <c r="Q197" s="78"/>
      <c r="R197" s="110"/>
      <c r="S197" s="110"/>
    </row>
    <row r="198" spans="2:20" x14ac:dyDescent="0.2">
      <c r="B198" s="86"/>
      <c r="C198" s="83"/>
      <c r="D198" s="83"/>
      <c r="E198" s="83"/>
      <c r="F198" s="84"/>
      <c r="G198" s="83"/>
      <c r="H198" s="83"/>
      <c r="I198" s="83"/>
      <c r="J198" s="414"/>
      <c r="K198" s="414"/>
      <c r="L198" s="414"/>
      <c r="M198" s="414"/>
      <c r="N198" s="414"/>
      <c r="O198" s="414"/>
      <c r="P198" s="654" t="s">
        <v>429</v>
      </c>
      <c r="Q198" s="85"/>
      <c r="R198" s="110"/>
      <c r="S198" s="110"/>
    </row>
    <row r="199" spans="2:20" ht="12.75" customHeight="1" thickBot="1" x14ac:dyDescent="0.25">
      <c r="B199" s="110"/>
      <c r="C199" s="110"/>
      <c r="D199" s="110"/>
      <c r="E199" s="110"/>
      <c r="F199" s="110"/>
      <c r="G199" s="110"/>
      <c r="H199" s="110"/>
      <c r="I199" s="110"/>
      <c r="J199" s="110"/>
      <c r="K199" s="110"/>
      <c r="L199" s="110"/>
      <c r="M199" s="110"/>
      <c r="N199" s="110"/>
      <c r="O199" s="110"/>
      <c r="P199" s="110"/>
      <c r="Q199" s="110"/>
      <c r="R199" s="110"/>
      <c r="S199" s="110"/>
      <c r="T199" s="110"/>
    </row>
    <row r="200" spans="2:20" ht="12.75" customHeight="1" thickTop="1" x14ac:dyDescent="0.2">
      <c r="B200" s="110"/>
      <c r="C200" s="997"/>
      <c r="D200" s="998"/>
      <c r="E200" s="998"/>
      <c r="F200" s="998"/>
      <c r="G200" s="998"/>
      <c r="H200" s="998"/>
      <c r="I200" s="998"/>
      <c r="J200" s="998"/>
      <c r="K200" s="998"/>
      <c r="L200" s="998"/>
      <c r="M200" s="998"/>
      <c r="N200" s="998"/>
      <c r="O200" s="998"/>
      <c r="P200" s="1010"/>
      <c r="Q200" s="110"/>
      <c r="R200" s="110"/>
      <c r="S200" s="110"/>
      <c r="T200" s="110"/>
    </row>
    <row r="201" spans="2:20" ht="12.75" customHeight="1" x14ac:dyDescent="0.2">
      <c r="B201" s="110"/>
      <c r="C201" s="999"/>
      <c r="D201" s="1225" t="s">
        <v>765</v>
      </c>
      <c r="E201" s="642"/>
      <c r="F201" s="642"/>
      <c r="G201" s="642"/>
      <c r="H201" s="642"/>
      <c r="I201" s="642"/>
      <c r="J201" s="642"/>
      <c r="K201" s="642"/>
      <c r="L201" s="642"/>
      <c r="M201" s="642"/>
      <c r="N201" s="642"/>
      <c r="O201" s="642"/>
      <c r="P201" s="1011"/>
      <c r="Q201" s="110"/>
      <c r="R201" s="110"/>
      <c r="S201" s="110"/>
      <c r="T201" s="110"/>
    </row>
    <row r="202" spans="2:20" ht="12.75" customHeight="1" x14ac:dyDescent="0.2">
      <c r="B202" s="110"/>
      <c r="C202" s="999"/>
      <c r="D202" s="642"/>
      <c r="E202" s="642"/>
      <c r="F202" s="642"/>
      <c r="G202" s="642"/>
      <c r="H202" s="642"/>
      <c r="I202" s="642"/>
      <c r="J202" s="642"/>
      <c r="K202" s="642"/>
      <c r="L202" s="642"/>
      <c r="M202" s="642"/>
      <c r="N202" s="642"/>
      <c r="O202" s="642"/>
      <c r="P202" s="1011"/>
      <c r="Q202" s="110"/>
      <c r="R202" s="110"/>
      <c r="S202" s="110"/>
      <c r="T202" s="110"/>
    </row>
    <row r="203" spans="2:20" ht="12.75" customHeight="1" x14ac:dyDescent="0.3">
      <c r="B203" s="10"/>
      <c r="C203" s="999"/>
      <c r="D203" s="994" t="s">
        <v>764</v>
      </c>
      <c r="E203" s="995"/>
      <c r="F203" s="996"/>
      <c r="G203" s="996"/>
      <c r="H203" s="1226"/>
      <c r="I203" s="1226"/>
      <c r="J203" s="1226" t="s">
        <v>702</v>
      </c>
      <c r="K203" s="1226" t="s">
        <v>703</v>
      </c>
      <c r="L203" s="1226" t="s">
        <v>704</v>
      </c>
      <c r="M203" s="1226" t="s">
        <v>705</v>
      </c>
      <c r="N203" s="1226" t="s">
        <v>706</v>
      </c>
      <c r="O203" s="1226" t="s">
        <v>767</v>
      </c>
      <c r="P203" s="1011"/>
      <c r="Q203" s="110"/>
      <c r="R203" s="110"/>
      <c r="S203" s="110"/>
      <c r="T203" s="110"/>
    </row>
    <row r="204" spans="2:20" ht="12.75" customHeight="1" x14ac:dyDescent="0.3">
      <c r="B204" s="10"/>
      <c r="C204" s="999"/>
      <c r="D204" s="1002" t="s">
        <v>261</v>
      </c>
      <c r="E204" s="1003"/>
      <c r="F204" s="1004"/>
      <c r="G204" s="1005"/>
      <c r="H204" s="993"/>
      <c r="I204" s="993"/>
      <c r="J204" s="993"/>
      <c r="K204" s="993"/>
      <c r="L204" s="993"/>
      <c r="M204" s="972"/>
      <c r="N204" s="972"/>
      <c r="O204" s="972"/>
      <c r="P204" s="1011"/>
      <c r="Q204" s="110"/>
      <c r="R204" s="110"/>
      <c r="S204" s="110"/>
      <c r="T204" s="110"/>
    </row>
    <row r="205" spans="2:20" ht="12.75" customHeight="1" x14ac:dyDescent="0.3">
      <c r="B205" s="10"/>
      <c r="C205" s="999"/>
      <c r="D205" s="1006" t="s">
        <v>116</v>
      </c>
      <c r="E205" s="1003"/>
      <c r="F205" s="1004"/>
      <c r="G205" s="1005"/>
      <c r="H205" s="993"/>
      <c r="I205" s="993"/>
      <c r="J205" s="993">
        <f t="shared" ref="J205:O205" si="62">+J48</f>
        <v>0</v>
      </c>
      <c r="K205" s="993">
        <f t="shared" si="62"/>
        <v>0</v>
      </c>
      <c r="L205" s="993">
        <f t="shared" si="62"/>
        <v>0</v>
      </c>
      <c r="M205" s="993">
        <f t="shared" si="62"/>
        <v>0</v>
      </c>
      <c r="N205" s="993">
        <f t="shared" si="62"/>
        <v>0</v>
      </c>
      <c r="O205" s="993">
        <f t="shared" si="62"/>
        <v>0</v>
      </c>
      <c r="P205" s="1011"/>
      <c r="Q205" s="110"/>
      <c r="R205" s="110"/>
      <c r="S205" s="110"/>
      <c r="T205" s="110"/>
    </row>
    <row r="206" spans="2:20" ht="12.75" customHeight="1" x14ac:dyDescent="0.3">
      <c r="B206" s="10"/>
      <c r="C206" s="999"/>
      <c r="D206" s="1006" t="s">
        <v>195</v>
      </c>
      <c r="E206" s="1003"/>
      <c r="F206" s="1004"/>
      <c r="G206" s="1005"/>
      <c r="H206" s="993"/>
      <c r="I206" s="993"/>
      <c r="J206" s="993">
        <f t="shared" ref="J206:O206" si="63">+J68</f>
        <v>0</v>
      </c>
      <c r="K206" s="993">
        <f t="shared" si="63"/>
        <v>0</v>
      </c>
      <c r="L206" s="993">
        <f t="shared" si="63"/>
        <v>0</v>
      </c>
      <c r="M206" s="993">
        <f t="shared" si="63"/>
        <v>0</v>
      </c>
      <c r="N206" s="993">
        <f t="shared" si="63"/>
        <v>0</v>
      </c>
      <c r="O206" s="993">
        <f t="shared" si="63"/>
        <v>0</v>
      </c>
      <c r="P206" s="1011"/>
      <c r="Q206" s="110"/>
      <c r="R206" s="110"/>
      <c r="S206" s="110"/>
      <c r="T206" s="110"/>
    </row>
    <row r="207" spans="2:20" ht="12.75" hidden="1" customHeight="1" x14ac:dyDescent="0.3">
      <c r="B207" s="10"/>
      <c r="C207" s="999"/>
      <c r="D207" s="1006" t="s">
        <v>208</v>
      </c>
      <c r="E207" s="1003"/>
      <c r="F207" s="1004"/>
      <c r="G207" s="1005"/>
      <c r="H207" s="1227"/>
      <c r="I207" s="1227"/>
      <c r="J207" s="1227">
        <v>0</v>
      </c>
      <c r="K207" s="1227">
        <v>0</v>
      </c>
      <c r="L207" s="1227">
        <v>0</v>
      </c>
      <c r="M207" s="1227">
        <v>0</v>
      </c>
      <c r="N207" s="1227">
        <v>0</v>
      </c>
      <c r="O207" s="1227">
        <v>0</v>
      </c>
      <c r="P207" s="1011"/>
      <c r="Q207" s="110"/>
      <c r="R207" s="110"/>
      <c r="S207" s="110"/>
      <c r="T207" s="110"/>
    </row>
    <row r="208" spans="2:20" ht="12.75" customHeight="1" x14ac:dyDescent="0.3">
      <c r="B208" s="10"/>
      <c r="C208" s="999"/>
      <c r="D208" s="1006" t="s">
        <v>209</v>
      </c>
      <c r="E208" s="1003"/>
      <c r="F208" s="1004"/>
      <c r="G208" s="1005"/>
      <c r="H208" s="993"/>
      <c r="I208" s="993"/>
      <c r="J208" s="993">
        <f t="shared" ref="J208:O208" si="64">+J75+J85</f>
        <v>0</v>
      </c>
      <c r="K208" s="993">
        <f t="shared" si="64"/>
        <v>0</v>
      </c>
      <c r="L208" s="993">
        <f t="shared" si="64"/>
        <v>0</v>
      </c>
      <c r="M208" s="993">
        <f t="shared" si="64"/>
        <v>0</v>
      </c>
      <c r="N208" s="993">
        <f t="shared" si="64"/>
        <v>0</v>
      </c>
      <c r="O208" s="993">
        <f t="shared" si="64"/>
        <v>0</v>
      </c>
      <c r="P208" s="1011"/>
      <c r="Q208" s="110"/>
      <c r="R208" s="110"/>
      <c r="S208" s="110"/>
      <c r="T208" s="110"/>
    </row>
    <row r="209" spans="2:20" ht="12.75" customHeight="1" x14ac:dyDescent="0.3">
      <c r="B209" s="10"/>
      <c r="C209" s="999"/>
      <c r="D209" s="1006" t="s">
        <v>118</v>
      </c>
      <c r="E209" s="1003"/>
      <c r="F209" s="1004"/>
      <c r="G209" s="1005"/>
      <c r="H209" s="993"/>
      <c r="I209" s="993"/>
      <c r="J209" s="993">
        <f t="shared" ref="J209:O209" si="65">+J81+J91-J75-J85</f>
        <v>0</v>
      </c>
      <c r="K209" s="993">
        <f t="shared" si="65"/>
        <v>0</v>
      </c>
      <c r="L209" s="993">
        <f t="shared" si="65"/>
        <v>0</v>
      </c>
      <c r="M209" s="993">
        <f t="shared" si="65"/>
        <v>0</v>
      </c>
      <c r="N209" s="993">
        <f t="shared" si="65"/>
        <v>0</v>
      </c>
      <c r="O209" s="993">
        <f t="shared" si="65"/>
        <v>0</v>
      </c>
      <c r="P209" s="1011"/>
      <c r="Q209" s="110"/>
      <c r="R209" s="110"/>
      <c r="S209" s="110"/>
      <c r="T209" s="110"/>
    </row>
    <row r="210" spans="2:20" ht="12.75" customHeight="1" x14ac:dyDescent="0.3">
      <c r="B210" s="10"/>
      <c r="C210" s="999"/>
      <c r="D210" s="1006"/>
      <c r="E210" s="1003"/>
      <c r="F210" s="1007" t="s">
        <v>660</v>
      </c>
      <c r="G210" s="1005"/>
      <c r="H210" s="993"/>
      <c r="I210" s="993"/>
      <c r="J210" s="993">
        <f t="shared" ref="J210:O210" si="66">SUM(J205:J209)</f>
        <v>0</v>
      </c>
      <c r="K210" s="993">
        <f t="shared" si="66"/>
        <v>0</v>
      </c>
      <c r="L210" s="993">
        <f t="shared" si="66"/>
        <v>0</v>
      </c>
      <c r="M210" s="993">
        <f t="shared" si="66"/>
        <v>0</v>
      </c>
      <c r="N210" s="993">
        <f t="shared" si="66"/>
        <v>0</v>
      </c>
      <c r="O210" s="993">
        <f t="shared" si="66"/>
        <v>0</v>
      </c>
      <c r="P210" s="1011"/>
      <c r="Q210" s="110"/>
      <c r="R210" s="110"/>
      <c r="S210" s="110"/>
      <c r="T210" s="110"/>
    </row>
    <row r="211" spans="2:20" ht="12.75" customHeight="1" x14ac:dyDescent="0.3">
      <c r="B211" s="10"/>
      <c r="C211" s="999"/>
      <c r="D211" s="1002" t="s">
        <v>210</v>
      </c>
      <c r="E211" s="1003"/>
      <c r="F211" s="1004"/>
      <c r="G211" s="1005"/>
      <c r="H211" s="993"/>
      <c r="I211" s="993"/>
      <c r="J211" s="993"/>
      <c r="K211" s="993"/>
      <c r="L211" s="993"/>
      <c r="M211" s="993"/>
      <c r="N211" s="993"/>
      <c r="O211" s="993"/>
      <c r="P211" s="1011"/>
      <c r="Q211" s="110"/>
      <c r="R211" s="110"/>
      <c r="S211" s="110"/>
      <c r="T211" s="110"/>
    </row>
    <row r="212" spans="2:20" ht="12.75" customHeight="1" x14ac:dyDescent="0.3">
      <c r="B212" s="10"/>
      <c r="C212" s="999"/>
      <c r="D212" s="1002" t="s">
        <v>119</v>
      </c>
      <c r="E212" s="1003"/>
      <c r="F212" s="1004"/>
      <c r="G212" s="1005"/>
      <c r="H212" s="993"/>
      <c r="I212" s="993"/>
      <c r="J212" s="993">
        <f t="shared" ref="J212:O212" si="67">+J114</f>
        <v>0</v>
      </c>
      <c r="K212" s="993">
        <f t="shared" si="67"/>
        <v>0</v>
      </c>
      <c r="L212" s="993">
        <f t="shared" si="67"/>
        <v>0</v>
      </c>
      <c r="M212" s="993">
        <f t="shared" si="67"/>
        <v>0</v>
      </c>
      <c r="N212" s="993">
        <f t="shared" si="67"/>
        <v>0</v>
      </c>
      <c r="O212" s="993">
        <f t="shared" si="67"/>
        <v>0</v>
      </c>
      <c r="P212" s="1011"/>
      <c r="Q212" s="110"/>
      <c r="R212" s="110"/>
      <c r="S212" s="110"/>
      <c r="T212" s="110"/>
    </row>
    <row r="213" spans="2:20" ht="12.75" customHeight="1" x14ac:dyDescent="0.3">
      <c r="B213" s="10"/>
      <c r="C213" s="999"/>
      <c r="D213" s="1002" t="s">
        <v>120</v>
      </c>
      <c r="E213" s="1003"/>
      <c r="F213" s="1004"/>
      <c r="G213" s="1005"/>
      <c r="H213" s="993"/>
      <c r="I213" s="993"/>
      <c r="J213" s="993">
        <f t="shared" ref="J213:O213" si="68">+J134</f>
        <v>0</v>
      </c>
      <c r="K213" s="993">
        <f t="shared" si="68"/>
        <v>0</v>
      </c>
      <c r="L213" s="993">
        <f t="shared" si="68"/>
        <v>0</v>
      </c>
      <c r="M213" s="993">
        <f t="shared" si="68"/>
        <v>0</v>
      </c>
      <c r="N213" s="993">
        <f t="shared" si="68"/>
        <v>0</v>
      </c>
      <c r="O213" s="993">
        <f t="shared" si="68"/>
        <v>0</v>
      </c>
      <c r="P213" s="1011"/>
      <c r="Q213" s="110"/>
      <c r="R213" s="110"/>
      <c r="S213" s="110"/>
      <c r="T213" s="110"/>
    </row>
    <row r="214" spans="2:20" ht="12.75" customHeight="1" x14ac:dyDescent="0.3">
      <c r="B214" s="10"/>
      <c r="C214" s="999"/>
      <c r="D214" s="1008" t="s">
        <v>658</v>
      </c>
      <c r="E214" s="1003"/>
      <c r="F214" s="1004"/>
      <c r="G214" s="1005"/>
      <c r="H214" s="993"/>
      <c r="I214" s="993"/>
      <c r="J214" s="993">
        <f t="shared" ref="J214:O214" si="69">+J186</f>
        <v>0</v>
      </c>
      <c r="K214" s="993">
        <f t="shared" si="69"/>
        <v>0</v>
      </c>
      <c r="L214" s="993">
        <f t="shared" si="69"/>
        <v>0</v>
      </c>
      <c r="M214" s="993">
        <f t="shared" si="69"/>
        <v>0</v>
      </c>
      <c r="N214" s="993">
        <f t="shared" si="69"/>
        <v>0</v>
      </c>
      <c r="O214" s="993">
        <f t="shared" si="69"/>
        <v>0</v>
      </c>
      <c r="P214" s="1011"/>
      <c r="Q214" s="110"/>
      <c r="R214" s="110"/>
      <c r="S214" s="110"/>
      <c r="T214" s="110"/>
    </row>
    <row r="215" spans="2:20" ht="12.75" customHeight="1" x14ac:dyDescent="0.3">
      <c r="B215" s="10"/>
      <c r="C215" s="999"/>
      <c r="D215" s="1006"/>
      <c r="E215" s="1003"/>
      <c r="F215" s="1007" t="s">
        <v>661</v>
      </c>
      <c r="G215" s="1005"/>
      <c r="H215" s="993"/>
      <c r="I215" s="993"/>
      <c r="J215" s="993">
        <f t="shared" ref="J215:O215" si="70">SUM(J212:J214)</f>
        <v>0</v>
      </c>
      <c r="K215" s="993">
        <f t="shared" si="70"/>
        <v>0</v>
      </c>
      <c r="L215" s="993">
        <f t="shared" si="70"/>
        <v>0</v>
      </c>
      <c r="M215" s="993">
        <f t="shared" si="70"/>
        <v>0</v>
      </c>
      <c r="N215" s="993">
        <f t="shared" si="70"/>
        <v>0</v>
      </c>
      <c r="O215" s="993">
        <f t="shared" si="70"/>
        <v>0</v>
      </c>
      <c r="P215" s="1011"/>
      <c r="Q215" s="110"/>
      <c r="R215" s="110"/>
      <c r="S215" s="110"/>
      <c r="T215" s="110"/>
    </row>
    <row r="216" spans="2:20" ht="12.75" customHeight="1" x14ac:dyDescent="0.3">
      <c r="B216" s="10"/>
      <c r="C216" s="999"/>
      <c r="D216" s="1009"/>
      <c r="E216" s="1003"/>
      <c r="F216" s="1004"/>
      <c r="G216" s="1005"/>
      <c r="H216" s="993"/>
      <c r="I216" s="993"/>
      <c r="J216" s="993"/>
      <c r="K216" s="993"/>
      <c r="L216" s="993"/>
      <c r="M216" s="993"/>
      <c r="N216" s="993"/>
      <c r="O216" s="993"/>
      <c r="P216" s="1011"/>
      <c r="Q216" s="110"/>
      <c r="R216" s="110"/>
      <c r="S216" s="110"/>
      <c r="T216" s="110"/>
    </row>
    <row r="217" spans="2:20" ht="12.75" customHeight="1" x14ac:dyDescent="0.3">
      <c r="B217" s="10"/>
      <c r="C217" s="999"/>
      <c r="D217" s="1006" t="s">
        <v>212</v>
      </c>
      <c r="E217" s="1003"/>
      <c r="F217" s="1004"/>
      <c r="G217" s="1005"/>
      <c r="H217" s="993"/>
      <c r="I217" s="993"/>
      <c r="J217" s="993">
        <f t="shared" ref="J217:O217" si="71">+J210-J215</f>
        <v>0</v>
      </c>
      <c r="K217" s="993">
        <f t="shared" si="71"/>
        <v>0</v>
      </c>
      <c r="L217" s="993">
        <f t="shared" si="71"/>
        <v>0</v>
      </c>
      <c r="M217" s="993">
        <f t="shared" si="71"/>
        <v>0</v>
      </c>
      <c r="N217" s="993">
        <f t="shared" si="71"/>
        <v>0</v>
      </c>
      <c r="O217" s="993">
        <f t="shared" si="71"/>
        <v>0</v>
      </c>
      <c r="P217" s="1011"/>
      <c r="Q217" s="110"/>
      <c r="R217" s="110"/>
      <c r="S217" s="110"/>
      <c r="T217" s="110"/>
    </row>
    <row r="218" spans="2:20" ht="12.75" customHeight="1" x14ac:dyDescent="0.3">
      <c r="B218" s="10"/>
      <c r="C218" s="999"/>
      <c r="D218" s="967"/>
      <c r="E218" s="967"/>
      <c r="F218" s="967"/>
      <c r="G218" s="967"/>
      <c r="H218" s="967"/>
      <c r="I218" s="967"/>
      <c r="J218" s="967"/>
      <c r="K218" s="967"/>
      <c r="L218" s="967"/>
      <c r="M218" s="967"/>
      <c r="N218" s="967"/>
      <c r="O218" s="967"/>
      <c r="P218" s="1011"/>
      <c r="Q218" s="110"/>
      <c r="R218" s="110"/>
      <c r="S218" s="110"/>
      <c r="T218" s="110"/>
    </row>
    <row r="219" spans="2:20" ht="12.75" customHeight="1" x14ac:dyDescent="0.3">
      <c r="B219" s="10"/>
      <c r="C219" s="999"/>
      <c r="D219" s="967"/>
      <c r="E219" s="967"/>
      <c r="F219" s="967"/>
      <c r="G219" s="967"/>
      <c r="H219" s="967"/>
      <c r="I219" s="967"/>
      <c r="J219" s="967"/>
      <c r="K219" s="967"/>
      <c r="L219" s="967"/>
      <c r="M219" s="967"/>
      <c r="N219" s="967"/>
      <c r="O219" s="967"/>
      <c r="P219" s="1011"/>
      <c r="Q219" s="110"/>
      <c r="R219" s="110"/>
      <c r="S219" s="110"/>
      <c r="T219" s="110"/>
    </row>
    <row r="220" spans="2:20" ht="12.75" customHeight="1" x14ac:dyDescent="0.3">
      <c r="B220" s="10"/>
      <c r="C220" s="999"/>
      <c r="D220" s="967"/>
      <c r="E220" s="967"/>
      <c r="F220" s="967"/>
      <c r="G220" s="967"/>
      <c r="H220" s="967"/>
      <c r="I220" s="967"/>
      <c r="J220" s="967"/>
      <c r="K220" s="967"/>
      <c r="L220" s="967"/>
      <c r="M220" s="967"/>
      <c r="N220" s="967"/>
      <c r="O220" s="967"/>
      <c r="P220" s="1011"/>
      <c r="Q220" s="110"/>
      <c r="R220" s="110"/>
      <c r="S220" s="110"/>
      <c r="T220" s="110"/>
    </row>
    <row r="221" spans="2:20" x14ac:dyDescent="0.2">
      <c r="B221" s="110"/>
      <c r="C221" s="999"/>
      <c r="D221" s="994" t="s">
        <v>766</v>
      </c>
      <c r="E221" s="995"/>
      <c r="F221" s="996"/>
      <c r="G221" s="996"/>
      <c r="H221" s="992"/>
      <c r="I221" s="992"/>
      <c r="J221" s="992" t="str">
        <f>+tab!E2</f>
        <v>2015/16</v>
      </c>
      <c r="K221" s="992" t="str">
        <f>+tab!F2</f>
        <v>2016/17</v>
      </c>
      <c r="L221" s="992" t="str">
        <f>+tab!G2</f>
        <v>2017/18</v>
      </c>
      <c r="M221" s="992" t="str">
        <f>+tab!H2</f>
        <v>2018/19</v>
      </c>
      <c r="N221" s="992" t="str">
        <f>+tab!I2</f>
        <v>2019/20</v>
      </c>
      <c r="O221" s="992" t="str">
        <f>+tab!J2</f>
        <v>2020/21</v>
      </c>
      <c r="P221" s="1012"/>
      <c r="Q221" s="12"/>
      <c r="R221" s="110"/>
      <c r="S221" s="559"/>
      <c r="T221" s="110"/>
    </row>
    <row r="222" spans="2:20" x14ac:dyDescent="0.2">
      <c r="B222" s="110"/>
      <c r="C222" s="999"/>
      <c r="D222" s="1002" t="s">
        <v>261</v>
      </c>
      <c r="E222" s="1003"/>
      <c r="F222" s="1004"/>
      <c r="G222" s="1005"/>
      <c r="H222" s="993"/>
      <c r="I222" s="993"/>
      <c r="J222" s="993"/>
      <c r="K222" s="993"/>
      <c r="L222" s="993"/>
      <c r="M222" s="972"/>
      <c r="N222" s="972"/>
      <c r="O222" s="972"/>
      <c r="P222" s="1011"/>
      <c r="Q222" s="110"/>
      <c r="R222" s="110"/>
      <c r="S222" s="110"/>
      <c r="T222" s="110"/>
    </row>
    <row r="223" spans="2:20" x14ac:dyDescent="0.2">
      <c r="B223" s="110"/>
      <c r="C223" s="999"/>
      <c r="D223" s="1006" t="s">
        <v>116</v>
      </c>
      <c r="E223" s="1003"/>
      <c r="F223" s="1004"/>
      <c r="G223" s="1005"/>
      <c r="H223" s="993"/>
      <c r="I223" s="993"/>
      <c r="J223" s="993">
        <f>5/12*J48+7/12*K48</f>
        <v>0</v>
      </c>
      <c r="K223" s="993">
        <f>5/12*K48+7/12*L48</f>
        <v>0</v>
      </c>
      <c r="L223" s="993">
        <f>5/12*L48+7/12*M48</f>
        <v>0</v>
      </c>
      <c r="M223" s="993">
        <f>5/12*M48+7/12*N48</f>
        <v>0</v>
      </c>
      <c r="N223" s="993">
        <f>5/12*N48+7/12*O48</f>
        <v>0</v>
      </c>
      <c r="O223" s="993">
        <f>O48</f>
        <v>0</v>
      </c>
      <c r="P223" s="1013"/>
      <c r="Q223" s="110"/>
      <c r="R223" s="110"/>
      <c r="S223" s="110"/>
      <c r="T223" s="110"/>
    </row>
    <row r="224" spans="2:20" x14ac:dyDescent="0.2">
      <c r="B224" s="110"/>
      <c r="C224" s="999"/>
      <c r="D224" s="1006" t="s">
        <v>195</v>
      </c>
      <c r="E224" s="1003"/>
      <c r="F224" s="1004"/>
      <c r="G224" s="1005"/>
      <c r="H224" s="993"/>
      <c r="I224" s="993"/>
      <c r="J224" s="993">
        <f>5/12*J68+7/12*K68</f>
        <v>0</v>
      </c>
      <c r="K224" s="993">
        <f>5/12*K68+7/12*L68</f>
        <v>0</v>
      </c>
      <c r="L224" s="993">
        <f>5/12*L68+7/12*M68</f>
        <v>0</v>
      </c>
      <c r="M224" s="993">
        <f>5/12*M68+7/12*N68</f>
        <v>0</v>
      </c>
      <c r="N224" s="993">
        <f>5/12*N68+7/12*O68</f>
        <v>0</v>
      </c>
      <c r="O224" s="993">
        <f>O68</f>
        <v>0</v>
      </c>
      <c r="P224" s="1013"/>
      <c r="Q224" s="110"/>
      <c r="R224" s="110"/>
      <c r="S224" s="110"/>
      <c r="T224" s="110"/>
    </row>
    <row r="225" spans="2:20" hidden="1" x14ac:dyDescent="0.2">
      <c r="B225" s="110"/>
      <c r="C225" s="999"/>
      <c r="D225" s="1006" t="s">
        <v>208</v>
      </c>
      <c r="E225" s="1003"/>
      <c r="F225" s="1004"/>
      <c r="G225" s="1005"/>
      <c r="H225" s="993"/>
      <c r="I225" s="993"/>
      <c r="J225" s="993"/>
      <c r="K225" s="993"/>
      <c r="L225" s="993"/>
      <c r="M225" s="993"/>
      <c r="N225" s="993"/>
      <c r="O225" s="993"/>
      <c r="P225" s="1011"/>
      <c r="Q225" s="110"/>
      <c r="R225" s="110"/>
      <c r="S225" s="110"/>
      <c r="T225" s="110"/>
    </row>
    <row r="226" spans="2:20" x14ac:dyDescent="0.2">
      <c r="B226" s="110"/>
      <c r="C226" s="999"/>
      <c r="D226" s="1006" t="s">
        <v>209</v>
      </c>
      <c r="E226" s="1003"/>
      <c r="F226" s="1004"/>
      <c r="G226" s="1005"/>
      <c r="H226" s="993"/>
      <c r="I226" s="993"/>
      <c r="J226" s="993">
        <f t="shared" ref="J226:O226" si="72">5/12*J75+7/12*K75+5/12*J85+7/12*K85</f>
        <v>0</v>
      </c>
      <c r="K226" s="993">
        <f t="shared" si="72"/>
        <v>0</v>
      </c>
      <c r="L226" s="993">
        <f t="shared" si="72"/>
        <v>0</v>
      </c>
      <c r="M226" s="993">
        <f t="shared" si="72"/>
        <v>0</v>
      </c>
      <c r="N226" s="993">
        <f t="shared" si="72"/>
        <v>0</v>
      </c>
      <c r="O226" s="993">
        <f t="shared" si="72"/>
        <v>0</v>
      </c>
      <c r="P226" s="1013"/>
      <c r="Q226" s="110"/>
      <c r="R226" s="110"/>
      <c r="S226" s="110"/>
      <c r="T226" s="110"/>
    </row>
    <row r="227" spans="2:20" x14ac:dyDescent="0.2">
      <c r="B227" s="110"/>
      <c r="C227" s="999"/>
      <c r="D227" s="1006" t="s">
        <v>118</v>
      </c>
      <c r="E227" s="1003"/>
      <c r="F227" s="1004"/>
      <c r="G227" s="1005"/>
      <c r="H227" s="993"/>
      <c r="I227" s="993"/>
      <c r="J227" s="993">
        <f>5/12*(J94-J75-J85)+7/12*(K94-K75-K85)</f>
        <v>0</v>
      </c>
      <c r="K227" s="993">
        <f>5/12*(K94-K75-K85)+7/12*(L94-L75-L85)</f>
        <v>0</v>
      </c>
      <c r="L227" s="993">
        <f>5/12*(L94-L75-L85)+7/12*(M94-M75-M85)</f>
        <v>0</v>
      </c>
      <c r="M227" s="993">
        <f>5/12*(M94-M75-M85)+7/12*(N94-N75-N85)</f>
        <v>0</v>
      </c>
      <c r="N227" s="993">
        <f>5/12*(N94-N75-N85)+7/12*(O94-O75-O85)</f>
        <v>0</v>
      </c>
      <c r="O227" s="993">
        <f>(O94-O75-O85)</f>
        <v>0</v>
      </c>
      <c r="P227" s="1013"/>
      <c r="Q227" s="110"/>
      <c r="R227" s="110"/>
      <c r="S227" s="110"/>
      <c r="T227" s="110"/>
    </row>
    <row r="228" spans="2:20" x14ac:dyDescent="0.2">
      <c r="B228" s="110"/>
      <c r="C228" s="999"/>
      <c r="D228" s="1006"/>
      <c r="E228" s="1003"/>
      <c r="F228" s="1007" t="s">
        <v>660</v>
      </c>
      <c r="G228" s="1005"/>
      <c r="H228" s="993"/>
      <c r="I228" s="993"/>
      <c r="J228" s="993">
        <f t="shared" ref="J228:O228" si="73">SUM(J223:J227)</f>
        <v>0</v>
      </c>
      <c r="K228" s="993">
        <f t="shared" si="73"/>
        <v>0</v>
      </c>
      <c r="L228" s="993">
        <f t="shared" si="73"/>
        <v>0</v>
      </c>
      <c r="M228" s="993">
        <f t="shared" si="73"/>
        <v>0</v>
      </c>
      <c r="N228" s="993">
        <f t="shared" si="73"/>
        <v>0</v>
      </c>
      <c r="O228" s="993">
        <f t="shared" si="73"/>
        <v>0</v>
      </c>
      <c r="P228" s="1013"/>
      <c r="Q228" s="110"/>
      <c r="R228" s="110"/>
      <c r="S228" s="110"/>
      <c r="T228" s="110"/>
    </row>
    <row r="229" spans="2:20" x14ac:dyDescent="0.2">
      <c r="B229" s="115"/>
      <c r="C229" s="1000"/>
      <c r="D229" s="1002" t="s">
        <v>210</v>
      </c>
      <c r="E229" s="1003"/>
      <c r="F229" s="1004"/>
      <c r="G229" s="1005"/>
      <c r="H229" s="993"/>
      <c r="I229" s="993"/>
      <c r="J229" s="993"/>
      <c r="K229" s="993"/>
      <c r="L229" s="993"/>
      <c r="M229" s="993"/>
      <c r="N229" s="993"/>
      <c r="O229" s="993"/>
      <c r="P229" s="1011"/>
      <c r="Q229" s="110"/>
      <c r="R229" s="110"/>
      <c r="S229" s="110"/>
      <c r="T229" s="110"/>
    </row>
    <row r="230" spans="2:20" x14ac:dyDescent="0.2">
      <c r="B230" s="110"/>
      <c r="C230" s="999"/>
      <c r="D230" s="1002" t="s">
        <v>119</v>
      </c>
      <c r="E230" s="1003"/>
      <c r="F230" s="1004"/>
      <c r="G230" s="1005"/>
      <c r="H230" s="993"/>
      <c r="I230" s="993"/>
      <c r="J230" s="993">
        <f>5/12*J114+7/12*K114</f>
        <v>0</v>
      </c>
      <c r="K230" s="993">
        <f>5/12*K114+7/12*L114</f>
        <v>0</v>
      </c>
      <c r="L230" s="993">
        <f>5/12*L114+7/12*M114</f>
        <v>0</v>
      </c>
      <c r="M230" s="993">
        <f>5/12*M114+7/12*N114</f>
        <v>0</v>
      </c>
      <c r="N230" s="993">
        <f>5/12*N114+7/12*O114</f>
        <v>0</v>
      </c>
      <c r="O230" s="993">
        <f>O114</f>
        <v>0</v>
      </c>
      <c r="P230" s="1013"/>
      <c r="Q230" s="110"/>
      <c r="R230" s="110"/>
      <c r="S230" s="110"/>
      <c r="T230" s="110"/>
    </row>
    <row r="231" spans="2:20" x14ac:dyDescent="0.2">
      <c r="B231" s="110"/>
      <c r="C231" s="999"/>
      <c r="D231" s="1002" t="s">
        <v>120</v>
      </c>
      <c r="E231" s="1003"/>
      <c r="F231" s="1004"/>
      <c r="G231" s="1005"/>
      <c r="H231" s="993"/>
      <c r="I231" s="993"/>
      <c r="J231" s="993">
        <f>5/12*J134+7/12*K134</f>
        <v>0</v>
      </c>
      <c r="K231" s="993">
        <f>5/12*K134+7/12*L134</f>
        <v>0</v>
      </c>
      <c r="L231" s="993">
        <f>5/12*L134+7/12*M134</f>
        <v>0</v>
      </c>
      <c r="M231" s="993">
        <f>5/12*M134+7/12*N134</f>
        <v>0</v>
      </c>
      <c r="N231" s="993">
        <f>5/12*N134+7/12*O134</f>
        <v>0</v>
      </c>
      <c r="O231" s="993">
        <f>O134</f>
        <v>0</v>
      </c>
      <c r="P231" s="1013"/>
      <c r="Q231" s="110"/>
      <c r="R231" s="110"/>
      <c r="S231" s="110"/>
      <c r="T231" s="110"/>
    </row>
    <row r="232" spans="2:20" x14ac:dyDescent="0.2">
      <c r="B232" s="110"/>
      <c r="C232" s="999"/>
      <c r="D232" s="1008" t="s">
        <v>658</v>
      </c>
      <c r="E232" s="1003"/>
      <c r="F232" s="1004"/>
      <c r="G232" s="1005"/>
      <c r="H232" s="993"/>
      <c r="I232" s="993"/>
      <c r="J232" s="993">
        <f t="shared" ref="J232:N232" si="74">5/12*J186+7/12*K186</f>
        <v>0</v>
      </c>
      <c r="K232" s="993">
        <f t="shared" si="74"/>
        <v>0</v>
      </c>
      <c r="L232" s="993">
        <f t="shared" si="74"/>
        <v>0</v>
      </c>
      <c r="M232" s="993">
        <f t="shared" si="74"/>
        <v>0</v>
      </c>
      <c r="N232" s="993">
        <f t="shared" si="74"/>
        <v>0</v>
      </c>
      <c r="O232" s="993">
        <f>O186</f>
        <v>0</v>
      </c>
      <c r="P232" s="1013"/>
      <c r="Q232" s="110"/>
      <c r="R232" s="110"/>
      <c r="S232" s="110"/>
      <c r="T232" s="110"/>
    </row>
    <row r="233" spans="2:20" x14ac:dyDescent="0.2">
      <c r="B233" s="110"/>
      <c r="C233" s="999"/>
      <c r="D233" s="1006"/>
      <c r="E233" s="1003"/>
      <c r="F233" s="1007" t="s">
        <v>661</v>
      </c>
      <c r="G233" s="1005"/>
      <c r="H233" s="993"/>
      <c r="I233" s="993"/>
      <c r="J233" s="993">
        <f t="shared" ref="J233:O233" si="75">SUM(J230:J232)</f>
        <v>0</v>
      </c>
      <c r="K233" s="993">
        <f t="shared" si="75"/>
        <v>0</v>
      </c>
      <c r="L233" s="993">
        <f t="shared" si="75"/>
        <v>0</v>
      </c>
      <c r="M233" s="993">
        <f t="shared" si="75"/>
        <v>0</v>
      </c>
      <c r="N233" s="993">
        <f t="shared" si="75"/>
        <v>0</v>
      </c>
      <c r="O233" s="993">
        <f t="shared" si="75"/>
        <v>0</v>
      </c>
      <c r="P233" s="1013"/>
      <c r="Q233" s="110"/>
      <c r="R233" s="110"/>
      <c r="S233" s="110"/>
      <c r="T233" s="110"/>
    </row>
    <row r="234" spans="2:20" x14ac:dyDescent="0.2">
      <c r="B234" s="110"/>
      <c r="C234" s="999"/>
      <c r="D234" s="1009"/>
      <c r="E234" s="1003"/>
      <c r="F234" s="1004"/>
      <c r="G234" s="1005"/>
      <c r="H234" s="993"/>
      <c r="I234" s="993"/>
      <c r="J234" s="993"/>
      <c r="K234" s="993"/>
      <c r="L234" s="993"/>
      <c r="M234" s="993"/>
      <c r="N234" s="993"/>
      <c r="O234" s="993"/>
      <c r="P234" s="1011"/>
      <c r="Q234" s="110"/>
      <c r="R234" s="110"/>
      <c r="S234" s="110"/>
      <c r="T234" s="110"/>
    </row>
    <row r="235" spans="2:20" x14ac:dyDescent="0.2">
      <c r="B235" s="114"/>
      <c r="C235" s="1001"/>
      <c r="D235" s="1006" t="s">
        <v>212</v>
      </c>
      <c r="E235" s="1003"/>
      <c r="F235" s="1004"/>
      <c r="G235" s="1005"/>
      <c r="H235" s="993"/>
      <c r="I235" s="993"/>
      <c r="J235" s="993">
        <f t="shared" ref="J235:O235" si="76">+J228-J233</f>
        <v>0</v>
      </c>
      <c r="K235" s="993">
        <f t="shared" si="76"/>
        <v>0</v>
      </c>
      <c r="L235" s="993">
        <f t="shared" si="76"/>
        <v>0</v>
      </c>
      <c r="M235" s="993">
        <f t="shared" si="76"/>
        <v>0</v>
      </c>
      <c r="N235" s="993">
        <f t="shared" si="76"/>
        <v>0</v>
      </c>
      <c r="O235" s="993">
        <f t="shared" si="76"/>
        <v>0</v>
      </c>
      <c r="P235" s="1013"/>
      <c r="Q235" s="110"/>
      <c r="R235" s="110"/>
      <c r="S235" s="110"/>
      <c r="T235" s="110"/>
    </row>
    <row r="236" spans="2:20" ht="13.5" thickBot="1" x14ac:dyDescent="0.25">
      <c r="B236" s="110"/>
      <c r="C236" s="1015"/>
      <c r="D236" s="1016"/>
      <c r="E236" s="1017"/>
      <c r="F236" s="1018"/>
      <c r="G236" s="1017"/>
      <c r="H236" s="1017"/>
      <c r="I236" s="1017"/>
      <c r="J236" s="1019"/>
      <c r="K236" s="1019"/>
      <c r="L236" s="1019"/>
      <c r="M236" s="1017"/>
      <c r="N236" s="1017"/>
      <c r="O236" s="1017"/>
      <c r="P236" s="1014"/>
      <c r="Q236" s="110"/>
      <c r="R236" s="110"/>
      <c r="S236" s="110"/>
      <c r="T236" s="110"/>
    </row>
    <row r="237" spans="2:20" ht="13.5" thickTop="1" x14ac:dyDescent="0.2">
      <c r="B237" s="110"/>
      <c r="C237" s="110"/>
      <c r="D237" s="411"/>
      <c r="E237" s="110"/>
      <c r="F237" s="113"/>
      <c r="G237" s="110"/>
      <c r="H237" s="110"/>
      <c r="I237" s="110"/>
      <c r="J237" s="229"/>
      <c r="K237" s="229"/>
      <c r="L237" s="229"/>
      <c r="M237" s="110"/>
      <c r="N237" s="110"/>
      <c r="O237" s="110"/>
      <c r="P237" s="110"/>
      <c r="Q237" s="110"/>
      <c r="R237" s="110"/>
      <c r="S237" s="110"/>
      <c r="T237" s="110"/>
    </row>
    <row r="238" spans="2:20" x14ac:dyDescent="0.2">
      <c r="B238" s="110"/>
      <c r="C238" s="110"/>
      <c r="D238" s="412"/>
      <c r="E238" s="110"/>
      <c r="F238" s="113"/>
      <c r="G238" s="110"/>
      <c r="H238" s="110"/>
      <c r="I238" s="110"/>
      <c r="J238" s="229"/>
      <c r="K238" s="229"/>
      <c r="L238" s="229"/>
      <c r="M238" s="110"/>
      <c r="N238" s="110"/>
      <c r="O238" s="110"/>
      <c r="P238" s="110"/>
      <c r="Q238" s="110"/>
      <c r="R238" s="110"/>
      <c r="S238" s="110"/>
      <c r="T238" s="110"/>
    </row>
    <row r="239" spans="2:20" x14ac:dyDescent="0.2">
      <c r="B239" s="110"/>
      <c r="C239" s="110"/>
      <c r="D239" s="110"/>
      <c r="E239" s="110"/>
      <c r="F239" s="113"/>
      <c r="G239" s="110"/>
      <c r="H239" s="110"/>
      <c r="I239" s="110"/>
      <c r="J239" s="113"/>
      <c r="K239" s="113"/>
      <c r="L239" s="113"/>
      <c r="M239" s="113"/>
      <c r="N239" s="113"/>
      <c r="O239" s="113"/>
      <c r="P239" s="110"/>
      <c r="Q239" s="110"/>
      <c r="R239" s="110"/>
      <c r="S239" s="110"/>
    </row>
    <row r="240" spans="2:20" x14ac:dyDescent="0.2">
      <c r="B240" s="110"/>
      <c r="C240" s="110"/>
      <c r="D240" s="110"/>
      <c r="E240" s="110"/>
      <c r="F240" s="113"/>
      <c r="G240" s="110"/>
      <c r="H240" s="110"/>
      <c r="I240" s="110"/>
      <c r="J240" s="113"/>
      <c r="K240" s="113"/>
      <c r="L240" s="113"/>
      <c r="M240" s="113"/>
      <c r="N240" s="113"/>
      <c r="O240" s="113"/>
      <c r="P240" s="110"/>
      <c r="Q240" s="110"/>
      <c r="R240" s="110"/>
      <c r="S240" s="110"/>
    </row>
    <row r="241" spans="2:19" x14ac:dyDescent="0.2">
      <c r="B241" s="110"/>
      <c r="C241" s="110"/>
      <c r="D241" s="110"/>
      <c r="E241" s="110"/>
      <c r="F241" s="113"/>
      <c r="G241" s="110"/>
      <c r="H241" s="110"/>
      <c r="I241" s="110"/>
      <c r="J241" s="113"/>
      <c r="K241" s="113"/>
      <c r="L241" s="113"/>
      <c r="M241" s="113"/>
      <c r="N241" s="113"/>
      <c r="O241" s="113"/>
      <c r="P241" s="110"/>
      <c r="Q241" s="110"/>
      <c r="R241" s="110"/>
      <c r="S241" s="110"/>
    </row>
    <row r="242" spans="2:19" x14ac:dyDescent="0.2">
      <c r="B242" s="110"/>
      <c r="C242" s="110"/>
      <c r="D242" s="110"/>
      <c r="E242" s="110"/>
      <c r="F242" s="113"/>
      <c r="G242" s="110"/>
      <c r="H242" s="110"/>
      <c r="I242" s="110"/>
      <c r="J242" s="113"/>
      <c r="K242" s="113"/>
      <c r="L242" s="113"/>
      <c r="M242" s="113"/>
      <c r="N242" s="113"/>
      <c r="O242" s="113"/>
      <c r="P242" s="110"/>
      <c r="Q242" s="110"/>
      <c r="R242" s="110"/>
      <c r="S242" s="110"/>
    </row>
    <row r="243" spans="2:19" x14ac:dyDescent="0.2">
      <c r="B243" s="110"/>
      <c r="C243" s="110"/>
      <c r="D243" s="110"/>
      <c r="E243" s="110"/>
      <c r="F243" s="113"/>
      <c r="G243" s="110"/>
      <c r="H243" s="110"/>
      <c r="I243" s="110"/>
      <c r="J243" s="113"/>
      <c r="K243" s="113"/>
      <c r="L243" s="113"/>
      <c r="M243" s="113"/>
      <c r="N243" s="113"/>
      <c r="O243" s="113"/>
      <c r="P243" s="110"/>
      <c r="Q243" s="110"/>
      <c r="R243" s="110"/>
      <c r="S243" s="110"/>
    </row>
    <row r="244" spans="2:19" x14ac:dyDescent="0.2">
      <c r="B244" s="110"/>
      <c r="C244" s="110"/>
      <c r="D244" s="110"/>
      <c r="E244" s="110"/>
      <c r="F244" s="113"/>
      <c r="G244" s="110"/>
      <c r="H244" s="110"/>
      <c r="I244" s="110"/>
      <c r="J244" s="113"/>
      <c r="K244" s="113"/>
      <c r="L244" s="113"/>
      <c r="M244" s="113"/>
      <c r="N244" s="113"/>
      <c r="O244" s="113"/>
      <c r="P244" s="110"/>
      <c r="Q244" s="110"/>
      <c r="R244" s="110"/>
      <c r="S244" s="110"/>
    </row>
    <row r="245" spans="2:19" x14ac:dyDescent="0.2">
      <c r="B245" s="110"/>
      <c r="C245" s="110"/>
      <c r="D245" s="110"/>
      <c r="E245" s="110"/>
      <c r="F245" s="113"/>
      <c r="G245" s="110"/>
      <c r="H245" s="110"/>
      <c r="I245" s="110"/>
      <c r="J245" s="113"/>
      <c r="K245" s="113"/>
      <c r="L245" s="113"/>
      <c r="M245" s="113"/>
      <c r="N245" s="113"/>
      <c r="O245" s="113"/>
      <c r="P245" s="110"/>
      <c r="Q245" s="110"/>
      <c r="R245" s="110"/>
      <c r="S245" s="110"/>
    </row>
    <row r="246" spans="2:19" x14ac:dyDescent="0.2">
      <c r="B246" s="110"/>
      <c r="C246" s="110"/>
      <c r="D246" s="110"/>
      <c r="E246" s="110"/>
      <c r="F246" s="113"/>
      <c r="G246" s="110"/>
      <c r="H246" s="110"/>
      <c r="I246" s="110"/>
      <c r="J246" s="113"/>
      <c r="K246" s="113"/>
      <c r="L246" s="113"/>
      <c r="M246" s="113"/>
      <c r="N246" s="113"/>
      <c r="O246" s="113"/>
      <c r="P246" s="110"/>
      <c r="Q246" s="110"/>
      <c r="R246" s="110"/>
      <c r="S246" s="110"/>
    </row>
    <row r="247" spans="2:19" x14ac:dyDescent="0.2">
      <c r="B247" s="110"/>
      <c r="C247" s="110"/>
      <c r="D247" s="110"/>
      <c r="E247" s="110"/>
      <c r="F247" s="113"/>
      <c r="G247" s="110"/>
      <c r="H247" s="110"/>
      <c r="I247" s="110"/>
      <c r="J247" s="113"/>
      <c r="K247" s="113"/>
      <c r="L247" s="113"/>
      <c r="M247" s="113"/>
      <c r="N247" s="113"/>
      <c r="O247" s="113"/>
      <c r="P247" s="110"/>
      <c r="Q247" s="110"/>
      <c r="R247" s="110"/>
      <c r="S247" s="110"/>
    </row>
    <row r="248" spans="2:19" x14ac:dyDescent="0.2">
      <c r="B248" s="110"/>
      <c r="C248" s="110"/>
      <c r="D248" s="110"/>
      <c r="E248" s="110"/>
      <c r="F248" s="113"/>
      <c r="G248" s="110"/>
      <c r="H248" s="110"/>
      <c r="I248" s="110"/>
      <c r="J248" s="113"/>
      <c r="K248" s="113"/>
      <c r="L248" s="113"/>
      <c r="M248" s="113"/>
      <c r="N248" s="113"/>
      <c r="O248" s="113"/>
      <c r="P248" s="110"/>
      <c r="Q248" s="110"/>
      <c r="R248" s="110"/>
      <c r="S248" s="110"/>
    </row>
    <row r="249" spans="2:19" x14ac:dyDescent="0.2">
      <c r="B249" s="110"/>
      <c r="C249" s="110"/>
      <c r="D249" s="110"/>
      <c r="E249" s="110"/>
      <c r="F249" s="113"/>
      <c r="G249" s="110"/>
      <c r="H249" s="110"/>
      <c r="I249" s="110"/>
      <c r="J249" s="113"/>
      <c r="K249" s="113"/>
      <c r="L249" s="113"/>
      <c r="M249" s="113"/>
      <c r="N249" s="113"/>
      <c r="O249" s="113"/>
      <c r="P249" s="110"/>
      <c r="Q249" s="110"/>
      <c r="R249" s="110"/>
      <c r="S249" s="110"/>
    </row>
    <row r="250" spans="2:19" x14ac:dyDescent="0.2">
      <c r="B250" s="110"/>
      <c r="C250" s="110"/>
      <c r="D250" s="110"/>
      <c r="E250" s="110"/>
      <c r="F250" s="113"/>
      <c r="G250" s="110"/>
      <c r="H250" s="110"/>
      <c r="I250" s="110"/>
      <c r="J250" s="113"/>
      <c r="K250" s="113"/>
      <c r="L250" s="113"/>
      <c r="M250" s="113"/>
      <c r="N250" s="113"/>
      <c r="O250" s="113"/>
      <c r="P250" s="110"/>
      <c r="Q250" s="110"/>
      <c r="R250" s="110"/>
      <c r="S250" s="110"/>
    </row>
    <row r="251" spans="2:19" x14ac:dyDescent="0.2">
      <c r="B251" s="110"/>
      <c r="C251" s="110"/>
      <c r="D251" s="110"/>
      <c r="E251" s="110"/>
      <c r="F251" s="113"/>
      <c r="G251" s="110"/>
      <c r="H251" s="110"/>
      <c r="I251" s="110"/>
      <c r="J251" s="113"/>
      <c r="K251" s="113"/>
      <c r="L251" s="113"/>
      <c r="M251" s="113"/>
      <c r="N251" s="113"/>
      <c r="O251" s="113"/>
      <c r="P251" s="110"/>
      <c r="Q251" s="110"/>
      <c r="R251" s="110"/>
      <c r="S251" s="110"/>
    </row>
    <row r="252" spans="2:19" x14ac:dyDescent="0.2">
      <c r="B252" s="110"/>
      <c r="C252" s="110"/>
      <c r="D252" s="110"/>
      <c r="E252" s="110"/>
      <c r="F252" s="113"/>
      <c r="G252" s="110"/>
      <c r="H252" s="110"/>
      <c r="I252" s="110"/>
      <c r="J252" s="113"/>
      <c r="K252" s="113"/>
      <c r="L252" s="113"/>
      <c r="M252" s="113"/>
      <c r="N252" s="113"/>
      <c r="O252" s="113"/>
      <c r="P252" s="110"/>
      <c r="Q252" s="110"/>
      <c r="R252" s="110"/>
      <c r="S252" s="110"/>
    </row>
    <row r="253" spans="2:19" x14ac:dyDescent="0.2">
      <c r="B253" s="110"/>
      <c r="C253" s="110"/>
      <c r="D253" s="110"/>
      <c r="E253" s="110"/>
      <c r="F253" s="113"/>
      <c r="G253" s="110"/>
      <c r="H253" s="110"/>
      <c r="I253" s="110"/>
      <c r="J253" s="113"/>
      <c r="K253" s="113"/>
      <c r="L253" s="113"/>
      <c r="M253" s="113"/>
      <c r="N253" s="113"/>
      <c r="O253" s="113"/>
      <c r="P253" s="110"/>
      <c r="Q253" s="110"/>
      <c r="R253" s="110"/>
      <c r="S253" s="110"/>
    </row>
    <row r="254" spans="2:19" x14ac:dyDescent="0.2">
      <c r="B254" s="110"/>
      <c r="C254" s="110"/>
      <c r="D254" s="110"/>
      <c r="E254" s="110"/>
      <c r="F254" s="113"/>
      <c r="G254" s="110"/>
      <c r="H254" s="110"/>
      <c r="I254" s="110"/>
      <c r="J254" s="113"/>
      <c r="K254" s="113"/>
      <c r="L254" s="113"/>
      <c r="M254" s="113"/>
      <c r="N254" s="113"/>
      <c r="O254" s="113"/>
      <c r="P254" s="110"/>
      <c r="Q254" s="110"/>
      <c r="R254" s="110"/>
      <c r="S254" s="110"/>
    </row>
    <row r="255" spans="2:19" x14ac:dyDescent="0.2">
      <c r="B255" s="110"/>
      <c r="C255" s="110"/>
      <c r="D255" s="110"/>
      <c r="E255" s="110"/>
      <c r="F255" s="113"/>
      <c r="G255" s="110"/>
      <c r="H255" s="110"/>
      <c r="I255" s="110"/>
      <c r="J255" s="113"/>
      <c r="K255" s="113"/>
      <c r="L255" s="113"/>
      <c r="M255" s="113"/>
      <c r="N255" s="113"/>
      <c r="O255" s="113"/>
      <c r="P255" s="110"/>
      <c r="Q255" s="110"/>
      <c r="R255" s="110"/>
      <c r="S255" s="110"/>
    </row>
    <row r="256" spans="2:19" x14ac:dyDescent="0.2">
      <c r="B256" s="110"/>
      <c r="C256" s="110"/>
      <c r="D256" s="110"/>
      <c r="E256" s="110"/>
      <c r="F256" s="113"/>
      <c r="G256" s="110"/>
      <c r="H256" s="110"/>
      <c r="I256" s="110"/>
      <c r="J256" s="113"/>
      <c r="K256" s="113"/>
      <c r="L256" s="113"/>
      <c r="M256" s="113"/>
      <c r="N256" s="113"/>
      <c r="O256" s="113"/>
      <c r="P256" s="110"/>
      <c r="Q256" s="110"/>
      <c r="R256" s="110"/>
      <c r="S256" s="110"/>
    </row>
    <row r="257" spans="2:19" x14ac:dyDescent="0.2">
      <c r="B257" s="110"/>
      <c r="C257" s="110"/>
      <c r="D257" s="110"/>
      <c r="E257" s="110"/>
      <c r="F257" s="113"/>
      <c r="G257" s="110"/>
      <c r="H257" s="110"/>
      <c r="I257" s="110"/>
      <c r="J257" s="113"/>
      <c r="K257" s="113"/>
      <c r="L257" s="113"/>
      <c r="M257" s="113"/>
      <c r="N257" s="113"/>
      <c r="O257" s="113"/>
      <c r="P257" s="110"/>
      <c r="Q257" s="110"/>
      <c r="R257" s="110"/>
      <c r="S257" s="110"/>
    </row>
    <row r="258" spans="2:19" x14ac:dyDescent="0.2">
      <c r="B258" s="110"/>
      <c r="C258" s="110"/>
      <c r="D258" s="110"/>
      <c r="E258" s="110"/>
      <c r="F258" s="113"/>
      <c r="G258" s="110"/>
      <c r="H258" s="110"/>
      <c r="I258" s="110"/>
      <c r="J258" s="113"/>
      <c r="K258" s="113"/>
      <c r="L258" s="113"/>
      <c r="M258" s="113"/>
      <c r="N258" s="113"/>
      <c r="O258" s="113"/>
      <c r="P258" s="110"/>
      <c r="Q258" s="110"/>
      <c r="R258" s="110"/>
      <c r="S258" s="110"/>
    </row>
    <row r="259" spans="2:19" x14ac:dyDescent="0.2">
      <c r="B259" s="110"/>
      <c r="C259" s="110"/>
      <c r="D259" s="110"/>
      <c r="E259" s="110"/>
      <c r="F259" s="113"/>
      <c r="G259" s="110"/>
      <c r="H259" s="110"/>
      <c r="I259" s="110"/>
      <c r="J259" s="113"/>
      <c r="K259" s="113"/>
      <c r="L259" s="113"/>
      <c r="M259" s="113"/>
      <c r="N259" s="113"/>
      <c r="O259" s="113"/>
      <c r="P259" s="110"/>
      <c r="Q259" s="110"/>
      <c r="R259" s="110"/>
      <c r="S259" s="110"/>
    </row>
    <row r="260" spans="2:19" x14ac:dyDescent="0.2">
      <c r="B260" s="110"/>
      <c r="C260" s="110"/>
      <c r="D260" s="110"/>
      <c r="E260" s="110"/>
      <c r="F260" s="113"/>
      <c r="G260" s="110"/>
      <c r="H260" s="110"/>
      <c r="I260" s="110"/>
      <c r="J260" s="113"/>
      <c r="K260" s="113"/>
      <c r="L260" s="113"/>
      <c r="M260" s="113"/>
      <c r="N260" s="113"/>
      <c r="O260" s="113"/>
      <c r="P260" s="110"/>
      <c r="Q260" s="110"/>
      <c r="R260" s="110"/>
      <c r="S260" s="110"/>
    </row>
    <row r="261" spans="2:19" x14ac:dyDescent="0.2">
      <c r="B261" s="110"/>
      <c r="C261" s="110"/>
      <c r="D261" s="110"/>
      <c r="E261" s="110"/>
      <c r="F261" s="113"/>
      <c r="G261" s="110"/>
      <c r="H261" s="110"/>
      <c r="I261" s="110"/>
      <c r="J261" s="113"/>
      <c r="K261" s="113"/>
      <c r="L261" s="113"/>
      <c r="M261" s="113"/>
      <c r="N261" s="113"/>
      <c r="O261" s="113"/>
      <c r="P261" s="110"/>
      <c r="Q261" s="110"/>
      <c r="R261" s="110"/>
      <c r="S261" s="110"/>
    </row>
    <row r="262" spans="2:19" x14ac:dyDescent="0.2">
      <c r="B262" s="110"/>
      <c r="C262" s="110"/>
      <c r="D262" s="110"/>
      <c r="E262" s="110"/>
      <c r="F262" s="113"/>
      <c r="G262" s="110"/>
      <c r="H262" s="110"/>
      <c r="I262" s="110"/>
      <c r="J262" s="113"/>
      <c r="K262" s="113"/>
      <c r="L262" s="113"/>
      <c r="M262" s="113"/>
      <c r="N262" s="113"/>
      <c r="O262" s="113"/>
      <c r="P262" s="110"/>
      <c r="Q262" s="110"/>
      <c r="R262" s="110"/>
      <c r="S262" s="110"/>
    </row>
    <row r="263" spans="2:19" x14ac:dyDescent="0.2">
      <c r="B263" s="110"/>
      <c r="C263" s="110"/>
      <c r="D263" s="110"/>
      <c r="E263" s="110"/>
      <c r="F263" s="113"/>
      <c r="G263" s="110"/>
      <c r="H263" s="110"/>
      <c r="I263" s="110"/>
      <c r="J263" s="113"/>
      <c r="K263" s="113"/>
      <c r="L263" s="113"/>
      <c r="M263" s="113"/>
      <c r="N263" s="113"/>
      <c r="O263" s="113"/>
      <c r="P263" s="110"/>
      <c r="Q263" s="110"/>
      <c r="R263" s="110"/>
      <c r="S263" s="110"/>
    </row>
    <row r="264" spans="2:19" x14ac:dyDescent="0.2">
      <c r="B264" s="110"/>
      <c r="C264" s="110"/>
      <c r="D264" s="110"/>
      <c r="E264" s="110"/>
      <c r="F264" s="113"/>
      <c r="G264" s="110"/>
      <c r="H264" s="110"/>
      <c r="I264" s="110"/>
      <c r="J264" s="113"/>
      <c r="K264" s="113"/>
      <c r="L264" s="113"/>
      <c r="M264" s="113"/>
      <c r="N264" s="113"/>
      <c r="O264" s="113"/>
      <c r="P264" s="110"/>
      <c r="Q264" s="110"/>
      <c r="R264" s="110"/>
      <c r="S264" s="110"/>
    </row>
    <row r="265" spans="2:19" x14ac:dyDescent="0.2">
      <c r="B265" s="110"/>
      <c r="C265" s="110"/>
      <c r="D265" s="110"/>
      <c r="E265" s="110"/>
      <c r="F265" s="113"/>
      <c r="G265" s="110"/>
      <c r="H265" s="110"/>
      <c r="I265" s="110"/>
      <c r="J265" s="113"/>
      <c r="K265" s="113"/>
      <c r="L265" s="113"/>
      <c r="M265" s="113"/>
      <c r="N265" s="113"/>
      <c r="O265" s="113"/>
      <c r="P265" s="110"/>
      <c r="Q265" s="110"/>
      <c r="R265" s="110"/>
      <c r="S265" s="110"/>
    </row>
    <row r="266" spans="2:19" x14ac:dyDescent="0.2">
      <c r="B266" s="110"/>
      <c r="C266" s="110"/>
      <c r="D266" s="110"/>
      <c r="E266" s="110"/>
      <c r="F266" s="113"/>
      <c r="G266" s="110"/>
      <c r="H266" s="110"/>
      <c r="I266" s="110"/>
      <c r="J266" s="113"/>
      <c r="K266" s="113"/>
      <c r="L266" s="113"/>
      <c r="M266" s="113"/>
      <c r="N266" s="113"/>
      <c r="O266" s="113"/>
      <c r="P266" s="110"/>
      <c r="Q266" s="110"/>
      <c r="R266" s="110"/>
      <c r="S266" s="110"/>
    </row>
    <row r="267" spans="2:19" x14ac:dyDescent="0.2">
      <c r="B267" s="110"/>
      <c r="C267" s="110"/>
      <c r="D267" s="110"/>
      <c r="E267" s="110"/>
      <c r="F267" s="113"/>
      <c r="G267" s="110"/>
      <c r="H267" s="110"/>
      <c r="I267" s="110"/>
      <c r="J267" s="113"/>
      <c r="K267" s="113"/>
      <c r="L267" s="113"/>
      <c r="M267" s="113"/>
      <c r="N267" s="113"/>
      <c r="O267" s="113"/>
      <c r="P267" s="110"/>
      <c r="Q267" s="110"/>
      <c r="R267" s="110"/>
      <c r="S267" s="110"/>
    </row>
    <row r="268" spans="2:19" x14ac:dyDescent="0.2">
      <c r="B268" s="110"/>
      <c r="C268" s="110"/>
      <c r="D268" s="110"/>
      <c r="E268" s="110"/>
      <c r="F268" s="113"/>
      <c r="G268" s="110"/>
      <c r="H268" s="110"/>
      <c r="I268" s="110"/>
      <c r="J268" s="113"/>
      <c r="K268" s="113"/>
      <c r="L268" s="113"/>
      <c r="M268" s="113"/>
      <c r="N268" s="113"/>
      <c r="O268" s="113"/>
      <c r="P268" s="110"/>
      <c r="Q268" s="110"/>
      <c r="R268" s="110"/>
      <c r="S268" s="110"/>
    </row>
    <row r="269" spans="2:19" x14ac:dyDescent="0.2">
      <c r="B269" s="110"/>
      <c r="C269" s="110"/>
      <c r="D269" s="110"/>
      <c r="E269" s="110"/>
      <c r="F269" s="113"/>
      <c r="G269" s="110"/>
      <c r="H269" s="110"/>
      <c r="I269" s="110"/>
      <c r="J269" s="113"/>
      <c r="K269" s="113"/>
      <c r="L269" s="113"/>
      <c r="M269" s="113"/>
      <c r="N269" s="113"/>
      <c r="O269" s="113"/>
      <c r="P269" s="110"/>
      <c r="Q269" s="110"/>
      <c r="R269" s="110"/>
      <c r="S269" s="110"/>
    </row>
    <row r="270" spans="2:19" x14ac:dyDescent="0.2">
      <c r="B270" s="110"/>
      <c r="C270" s="110"/>
      <c r="D270" s="110"/>
      <c r="E270" s="110"/>
      <c r="F270" s="113"/>
      <c r="G270" s="110"/>
      <c r="H270" s="110"/>
      <c r="I270" s="110"/>
      <c r="J270" s="113"/>
      <c r="K270" s="113"/>
      <c r="L270" s="113"/>
      <c r="M270" s="113"/>
      <c r="N270" s="113"/>
      <c r="O270" s="113"/>
      <c r="P270" s="110"/>
      <c r="Q270" s="110"/>
      <c r="R270" s="110"/>
      <c r="S270" s="110"/>
    </row>
    <row r="271" spans="2:19" x14ac:dyDescent="0.2">
      <c r="B271" s="110"/>
      <c r="C271" s="110"/>
      <c r="D271" s="110"/>
      <c r="E271" s="110"/>
      <c r="F271" s="113"/>
      <c r="G271" s="110"/>
      <c r="H271" s="110"/>
      <c r="I271" s="110"/>
      <c r="J271" s="113"/>
      <c r="K271" s="113"/>
      <c r="L271" s="113"/>
      <c r="M271" s="113"/>
      <c r="N271" s="113"/>
      <c r="O271" s="113"/>
      <c r="P271" s="110"/>
      <c r="Q271" s="110"/>
      <c r="R271" s="110"/>
      <c r="S271" s="110"/>
    </row>
    <row r="272" spans="2:19" x14ac:dyDescent="0.2">
      <c r="B272" s="110"/>
      <c r="C272" s="110"/>
      <c r="D272" s="110"/>
      <c r="E272" s="110"/>
      <c r="F272" s="113"/>
      <c r="G272" s="110"/>
      <c r="H272" s="110"/>
      <c r="I272" s="110"/>
      <c r="J272" s="113"/>
      <c r="K272" s="113"/>
      <c r="L272" s="113"/>
      <c r="M272" s="113"/>
      <c r="N272" s="113"/>
      <c r="O272" s="113"/>
      <c r="P272" s="110"/>
      <c r="Q272" s="110"/>
      <c r="R272" s="110"/>
      <c r="S272" s="110"/>
    </row>
    <row r="273" spans="2:19" x14ac:dyDescent="0.2">
      <c r="B273" s="110"/>
      <c r="C273" s="110"/>
      <c r="D273" s="110"/>
      <c r="E273" s="110"/>
      <c r="F273" s="113"/>
      <c r="G273" s="110"/>
      <c r="H273" s="110"/>
      <c r="I273" s="110"/>
      <c r="J273" s="113"/>
      <c r="K273" s="113"/>
      <c r="L273" s="113"/>
      <c r="M273" s="113"/>
      <c r="N273" s="113"/>
      <c r="O273" s="113"/>
      <c r="P273" s="110"/>
      <c r="Q273" s="110"/>
      <c r="R273" s="110"/>
      <c r="S273" s="110"/>
    </row>
    <row r="274" spans="2:19" x14ac:dyDescent="0.2">
      <c r="B274" s="110"/>
      <c r="C274" s="110"/>
      <c r="D274" s="110"/>
      <c r="E274" s="110"/>
      <c r="F274" s="113"/>
      <c r="G274" s="110"/>
      <c r="H274" s="110"/>
      <c r="I274" s="110"/>
      <c r="J274" s="113"/>
      <c r="K274" s="113"/>
      <c r="L274" s="113"/>
      <c r="M274" s="113"/>
      <c r="N274" s="113"/>
      <c r="O274" s="113"/>
      <c r="P274" s="110"/>
      <c r="Q274" s="110"/>
      <c r="R274" s="110"/>
      <c r="S274" s="110"/>
    </row>
    <row r="275" spans="2:19" x14ac:dyDescent="0.2">
      <c r="B275" s="110"/>
      <c r="C275" s="110"/>
      <c r="D275" s="110"/>
      <c r="E275" s="110"/>
      <c r="F275" s="113"/>
      <c r="G275" s="110"/>
      <c r="H275" s="110"/>
      <c r="I275" s="110"/>
      <c r="J275" s="113"/>
      <c r="K275" s="113"/>
      <c r="L275" s="113"/>
      <c r="M275" s="113"/>
      <c r="N275" s="113"/>
      <c r="O275" s="113"/>
      <c r="P275" s="110"/>
      <c r="Q275" s="110"/>
      <c r="R275" s="110"/>
      <c r="S275" s="110"/>
    </row>
    <row r="276" spans="2:19" x14ac:dyDescent="0.2">
      <c r="B276" s="110"/>
      <c r="C276" s="110"/>
      <c r="D276" s="110"/>
      <c r="E276" s="110"/>
      <c r="F276" s="113"/>
      <c r="G276" s="110"/>
      <c r="H276" s="110"/>
      <c r="I276" s="110"/>
      <c r="J276" s="113"/>
      <c r="K276" s="113"/>
      <c r="L276" s="113"/>
      <c r="M276" s="113"/>
      <c r="N276" s="113"/>
      <c r="O276" s="113"/>
      <c r="P276" s="110"/>
      <c r="Q276" s="110"/>
      <c r="R276" s="110"/>
      <c r="S276" s="110"/>
    </row>
    <row r="277" spans="2:19" x14ac:dyDescent="0.2">
      <c r="B277" s="110"/>
      <c r="C277" s="110"/>
      <c r="D277" s="110"/>
      <c r="E277" s="110"/>
      <c r="F277" s="113"/>
      <c r="G277" s="110"/>
      <c r="H277" s="110"/>
      <c r="I277" s="110"/>
      <c r="J277" s="113"/>
      <c r="K277" s="113"/>
      <c r="L277" s="113"/>
      <c r="M277" s="113"/>
      <c r="N277" s="113"/>
      <c r="O277" s="113"/>
      <c r="P277" s="110"/>
      <c r="Q277" s="110"/>
      <c r="R277" s="110"/>
      <c r="S277" s="110"/>
    </row>
    <row r="278" spans="2:19" x14ac:dyDescent="0.2">
      <c r="B278" s="110"/>
      <c r="C278" s="110"/>
      <c r="D278" s="110"/>
      <c r="E278" s="110"/>
      <c r="F278" s="113"/>
      <c r="G278" s="110"/>
      <c r="H278" s="110"/>
      <c r="I278" s="110"/>
      <c r="J278" s="113"/>
      <c r="K278" s="113"/>
      <c r="L278" s="113"/>
      <c r="M278" s="113"/>
      <c r="N278" s="113"/>
      <c r="O278" s="113"/>
      <c r="P278" s="110"/>
      <c r="Q278" s="110"/>
      <c r="R278" s="110"/>
      <c r="S278" s="110"/>
    </row>
    <row r="279" spans="2:19" x14ac:dyDescent="0.2">
      <c r="B279" s="110"/>
      <c r="C279" s="110"/>
      <c r="D279" s="110"/>
      <c r="E279" s="110"/>
      <c r="F279" s="113"/>
      <c r="G279" s="110"/>
      <c r="H279" s="110"/>
      <c r="I279" s="110"/>
      <c r="J279" s="113"/>
      <c r="K279" s="113"/>
      <c r="L279" s="113"/>
      <c r="M279" s="113"/>
      <c r="N279" s="113"/>
      <c r="O279" s="113"/>
      <c r="P279" s="110"/>
      <c r="Q279" s="110"/>
      <c r="R279" s="110"/>
      <c r="S279" s="110"/>
    </row>
    <row r="280" spans="2:19" x14ac:dyDescent="0.2">
      <c r="B280" s="110"/>
      <c r="C280" s="110"/>
      <c r="D280" s="110"/>
      <c r="E280" s="110"/>
      <c r="F280" s="113"/>
      <c r="G280" s="110"/>
      <c r="H280" s="110"/>
      <c r="I280" s="110"/>
      <c r="J280" s="113"/>
      <c r="K280" s="113"/>
      <c r="L280" s="113"/>
      <c r="M280" s="113"/>
      <c r="N280" s="113"/>
      <c r="O280" s="113"/>
      <c r="P280" s="110"/>
      <c r="Q280" s="110"/>
      <c r="R280" s="110"/>
      <c r="S280" s="110"/>
    </row>
    <row r="281" spans="2:19" x14ac:dyDescent="0.2">
      <c r="B281" s="110"/>
      <c r="C281" s="110"/>
      <c r="D281" s="110"/>
      <c r="E281" s="110"/>
      <c r="F281" s="113"/>
      <c r="G281" s="110"/>
      <c r="H281" s="110"/>
      <c r="I281" s="110"/>
      <c r="J281" s="113"/>
      <c r="K281" s="113"/>
      <c r="L281" s="113"/>
      <c r="M281" s="113"/>
      <c r="N281" s="113"/>
      <c r="O281" s="113"/>
      <c r="P281" s="110"/>
      <c r="Q281" s="110"/>
      <c r="R281" s="110"/>
      <c r="S281" s="110"/>
    </row>
    <row r="282" spans="2:19" x14ac:dyDescent="0.2">
      <c r="B282" s="110"/>
      <c r="C282" s="110"/>
      <c r="D282" s="110"/>
      <c r="E282" s="110"/>
      <c r="F282" s="113"/>
      <c r="G282" s="110"/>
      <c r="H282" s="110"/>
      <c r="I282" s="110"/>
      <c r="J282" s="113"/>
      <c r="K282" s="113"/>
      <c r="L282" s="113"/>
      <c r="M282" s="113"/>
      <c r="N282" s="113"/>
      <c r="O282" s="113"/>
      <c r="P282" s="110"/>
      <c r="Q282" s="110"/>
      <c r="R282" s="110"/>
      <c r="S282" s="110"/>
    </row>
    <row r="283" spans="2:19" x14ac:dyDescent="0.2">
      <c r="B283" s="110"/>
      <c r="C283" s="110"/>
      <c r="D283" s="110"/>
      <c r="E283" s="110"/>
      <c r="F283" s="113"/>
      <c r="G283" s="110"/>
      <c r="H283" s="110"/>
      <c r="I283" s="110"/>
      <c r="J283" s="113"/>
      <c r="K283" s="113"/>
      <c r="L283" s="113"/>
      <c r="M283" s="113"/>
      <c r="N283" s="113"/>
      <c r="O283" s="113"/>
      <c r="P283" s="110"/>
      <c r="Q283" s="110"/>
      <c r="R283" s="110"/>
      <c r="S283" s="110"/>
    </row>
    <row r="284" spans="2:19" x14ac:dyDescent="0.2">
      <c r="B284" s="110"/>
      <c r="C284" s="110"/>
      <c r="D284" s="110"/>
      <c r="E284" s="110"/>
      <c r="F284" s="113"/>
      <c r="G284" s="110"/>
      <c r="H284" s="110"/>
      <c r="I284" s="110"/>
      <c r="J284" s="113"/>
      <c r="K284" s="113"/>
      <c r="L284" s="113"/>
      <c r="M284" s="113"/>
      <c r="N284" s="113"/>
      <c r="O284" s="113"/>
      <c r="P284" s="110"/>
      <c r="Q284" s="110"/>
      <c r="R284" s="110"/>
      <c r="S284" s="110"/>
    </row>
    <row r="285" spans="2:19" x14ac:dyDescent="0.2">
      <c r="B285" s="110"/>
      <c r="C285" s="110"/>
      <c r="D285" s="110"/>
      <c r="E285" s="110"/>
      <c r="F285" s="113"/>
      <c r="G285" s="110"/>
      <c r="H285" s="110"/>
      <c r="I285" s="110"/>
      <c r="J285" s="113"/>
      <c r="K285" s="113"/>
      <c r="L285" s="113"/>
      <c r="M285" s="113"/>
      <c r="N285" s="113"/>
      <c r="O285" s="113"/>
      <c r="P285" s="110"/>
      <c r="Q285" s="110"/>
      <c r="R285" s="110"/>
      <c r="S285" s="110"/>
    </row>
    <row r="286" spans="2:19" x14ac:dyDescent="0.2">
      <c r="B286" s="110"/>
      <c r="C286" s="110"/>
      <c r="D286" s="110"/>
      <c r="E286" s="110"/>
      <c r="F286" s="113"/>
      <c r="G286" s="110"/>
      <c r="H286" s="110"/>
      <c r="I286" s="110"/>
      <c r="J286" s="113"/>
      <c r="K286" s="113"/>
      <c r="L286" s="113"/>
      <c r="M286" s="113"/>
      <c r="N286" s="113"/>
      <c r="O286" s="113"/>
      <c r="P286" s="110"/>
      <c r="Q286" s="110"/>
      <c r="R286" s="110"/>
      <c r="S286" s="110"/>
    </row>
  </sheetData>
  <sheetProtection algorithmName="SHA-512" hashValue="RivHvcwTGyyjBcVbKa3d0/tOnovxVZmcMFmWuDf2z2GIYKl/5APjQG0I2FFwqgvmCVTiyfTwXIjAJ5nb5ekRtg==" saltValue="tQmt1i1YWUOcaoNBwYsC8w==" spinCount="100000" sheet="1" objects="1" scenarios="1"/>
  <phoneticPr fontId="0" type="noConversion"/>
  <hyperlinks>
    <hyperlink ref="P198" r:id="rId1"/>
  </hyperlinks>
  <pageMargins left="0.74803149606299213" right="0.74803149606299213" top="0.98425196850393704" bottom="0.98425196850393704" header="0.51181102362204722" footer="0.51181102362204722"/>
  <pageSetup paperSize="9" scale="50" orientation="portrait" r:id="rId2"/>
  <headerFooter alignWithMargins="0">
    <oddHeader>&amp;L&amp;"Arial,Vet"&amp;9&amp;F&amp;R&amp;"Arial,Vet"&amp;9&amp;A</oddHeader>
    <oddFooter>&amp;L&amp;"Arial,Vet"&amp;9be.keizer@wxs.nl&amp;C&amp;"Arial,Vet"&amp;9pagina &amp;P&amp;R&amp;"Arial,Vet"&amp;9&amp;D</oddFooter>
  </headerFooter>
  <rowBreaks count="2" manualBreakCount="2">
    <brk id="101" min="1" max="17" man="1"/>
    <brk id="198" min="1" max="17" man="1"/>
  </rowBreaks>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80"/>
  <sheetViews>
    <sheetView showGridLines="0" zoomScale="85" zoomScaleNormal="85" zoomScaleSheetLayoutView="85" workbookViewId="0">
      <selection activeCell="B2" sqref="B2"/>
    </sheetView>
  </sheetViews>
  <sheetFormatPr defaultRowHeight="12.75" x14ac:dyDescent="0.2"/>
  <cols>
    <col min="1" max="1" width="3.7109375" style="194" customWidth="1"/>
    <col min="2" max="3" width="2.7109375" style="194" customWidth="1"/>
    <col min="4" max="4" width="45.7109375" style="194" customWidth="1"/>
    <col min="5" max="5" width="0.85546875" style="194" customWidth="1"/>
    <col min="6" max="6" width="8.7109375" style="198" customWidth="1"/>
    <col min="7" max="7" width="2.7109375" style="194" customWidth="1"/>
    <col min="8" max="8" width="14.7109375" style="194" customWidth="1"/>
    <col min="9" max="14" width="14.7109375" style="198" customWidth="1"/>
    <col min="15" max="16" width="2.7109375" style="194" customWidth="1"/>
    <col min="17" max="16384" width="9.140625" style="194"/>
  </cols>
  <sheetData>
    <row r="2" spans="2:18" x14ac:dyDescent="0.2">
      <c r="B2" s="72"/>
      <c r="C2" s="73"/>
      <c r="D2" s="73"/>
      <c r="E2" s="73"/>
      <c r="F2" s="74"/>
      <c r="G2" s="73"/>
      <c r="H2" s="73"/>
      <c r="I2" s="74"/>
      <c r="J2" s="74"/>
      <c r="K2" s="74"/>
      <c r="L2" s="74"/>
      <c r="M2" s="74"/>
      <c r="N2" s="74"/>
      <c r="O2" s="73"/>
      <c r="P2" s="75"/>
    </row>
    <row r="3" spans="2:18" x14ac:dyDescent="0.2">
      <c r="B3" s="76"/>
      <c r="C3" s="77"/>
      <c r="D3" s="57"/>
      <c r="E3" s="77"/>
      <c r="F3" s="70"/>
      <c r="G3" s="77"/>
      <c r="H3" s="77"/>
      <c r="I3" s="70"/>
      <c r="J3" s="70"/>
      <c r="K3" s="70"/>
      <c r="L3" s="70"/>
      <c r="M3" s="70"/>
      <c r="N3" s="70"/>
      <c r="O3" s="77"/>
      <c r="P3" s="78"/>
    </row>
    <row r="4" spans="2:18" s="168" customFormat="1" ht="18.75" x14ac:dyDescent="0.3">
      <c r="B4" s="175"/>
      <c r="C4" s="643" t="s">
        <v>543</v>
      </c>
      <c r="D4" s="177"/>
      <c r="E4" s="177"/>
      <c r="F4" s="178"/>
      <c r="G4" s="177"/>
      <c r="H4" s="177"/>
      <c r="I4" s="178"/>
      <c r="J4" s="178"/>
      <c r="K4" s="178"/>
      <c r="L4" s="178"/>
      <c r="M4" s="178"/>
      <c r="N4" s="178"/>
      <c r="O4" s="177"/>
      <c r="P4" s="179"/>
    </row>
    <row r="5" spans="2:18" s="169" customFormat="1" ht="18.75" x14ac:dyDescent="0.3">
      <c r="B5" s="26"/>
      <c r="C5" s="406" t="str">
        <f>'geg LO'!C5</f>
        <v xml:space="preserve">SWV VO </v>
      </c>
      <c r="D5" s="58"/>
      <c r="E5" s="27"/>
      <c r="F5" s="180"/>
      <c r="G5" s="27"/>
      <c r="H5" s="27"/>
      <c r="I5" s="180"/>
      <c r="J5" s="180"/>
      <c r="K5" s="180"/>
      <c r="L5" s="180"/>
      <c r="M5" s="180"/>
      <c r="N5" s="180"/>
      <c r="O5" s="27"/>
      <c r="P5" s="28"/>
    </row>
    <row r="6" spans="2:18" x14ac:dyDescent="0.2">
      <c r="B6" s="76"/>
      <c r="C6" s="77"/>
      <c r="D6" s="57"/>
      <c r="E6" s="77"/>
      <c r="F6" s="70"/>
      <c r="G6" s="77"/>
      <c r="H6" s="77"/>
      <c r="I6" s="70"/>
      <c r="J6" s="70"/>
      <c r="K6" s="70"/>
      <c r="L6" s="70"/>
      <c r="M6" s="70"/>
      <c r="N6" s="70"/>
      <c r="O6" s="77"/>
      <c r="P6" s="78"/>
    </row>
    <row r="7" spans="2:18" x14ac:dyDescent="0.2">
      <c r="B7" s="76"/>
      <c r="C7" s="77"/>
      <c r="D7" s="57"/>
      <c r="E7" s="77"/>
      <c r="F7" s="70"/>
      <c r="G7" s="77"/>
      <c r="H7" s="77"/>
      <c r="I7" s="70"/>
      <c r="J7" s="413"/>
      <c r="K7" s="70"/>
      <c r="L7" s="70"/>
      <c r="M7" s="70"/>
      <c r="N7" s="70"/>
      <c r="O7" s="77"/>
      <c r="P7" s="78"/>
    </row>
    <row r="8" spans="2:18" s="213" customFormat="1" x14ac:dyDescent="0.2">
      <c r="B8" s="215"/>
      <c r="C8" s="216"/>
      <c r="D8" s="216"/>
      <c r="E8" s="216"/>
      <c r="F8" s="609" t="s">
        <v>145</v>
      </c>
      <c r="G8" s="610"/>
      <c r="H8" s="616" t="str">
        <f>tab!D2</f>
        <v>2014/15</v>
      </c>
      <c r="I8" s="616" t="str">
        <f>tab!E2</f>
        <v>2015/16</v>
      </c>
      <c r="J8" s="616" t="str">
        <f>tab!F2</f>
        <v>2016/17</v>
      </c>
      <c r="K8" s="616" t="str">
        <f>tab!G2</f>
        <v>2017/18</v>
      </c>
      <c r="L8" s="616" t="str">
        <f>tab!H2</f>
        <v>2018/19</v>
      </c>
      <c r="M8" s="616" t="str">
        <f>tab!I2</f>
        <v>2019/20</v>
      </c>
      <c r="N8" s="616" t="str">
        <f>tab!J2</f>
        <v>2020/21</v>
      </c>
      <c r="O8" s="216"/>
      <c r="P8" s="217"/>
      <c r="Q8" s="212"/>
      <c r="R8" s="212"/>
    </row>
    <row r="9" spans="2:18" x14ac:dyDescent="0.2">
      <c r="B9" s="76"/>
      <c r="C9" s="77"/>
      <c r="D9" s="77"/>
      <c r="E9" s="77"/>
      <c r="F9" s="70"/>
      <c r="G9" s="77"/>
      <c r="H9" s="77"/>
      <c r="I9" s="70"/>
      <c r="J9" s="70"/>
      <c r="K9" s="70"/>
      <c r="L9" s="70"/>
      <c r="M9" s="70"/>
      <c r="N9" s="70"/>
      <c r="O9" s="77"/>
      <c r="P9" s="78"/>
      <c r="Q9" s="110"/>
      <c r="R9" s="110"/>
    </row>
    <row r="10" spans="2:18" x14ac:dyDescent="0.2">
      <c r="B10" s="76"/>
      <c r="C10" s="191"/>
      <c r="D10" s="199"/>
      <c r="E10" s="191"/>
      <c r="F10" s="71"/>
      <c r="G10" s="191"/>
      <c r="H10" s="191"/>
      <c r="I10" s="71"/>
      <c r="J10" s="71"/>
      <c r="K10" s="71"/>
      <c r="L10" s="71"/>
      <c r="M10" s="71"/>
      <c r="N10" s="71"/>
      <c r="O10" s="191"/>
      <c r="P10" s="78"/>
      <c r="Q10" s="110"/>
      <c r="R10" s="110"/>
    </row>
    <row r="11" spans="2:18" x14ac:dyDescent="0.2">
      <c r="B11" s="76"/>
      <c r="C11" s="191"/>
      <c r="D11" s="1639" t="str">
        <f>+pers!D195</f>
        <v>project 1</v>
      </c>
      <c r="E11" s="191"/>
      <c r="F11" s="71"/>
      <c r="G11" s="191"/>
      <c r="H11" s="191"/>
      <c r="I11" s="71"/>
      <c r="J11" s="71"/>
      <c r="K11" s="71"/>
      <c r="L11" s="71"/>
      <c r="M11" s="71"/>
      <c r="N11" s="71"/>
      <c r="O11" s="191"/>
      <c r="P11" s="78"/>
      <c r="Q11" s="110"/>
      <c r="R11" s="110"/>
    </row>
    <row r="12" spans="2:18" x14ac:dyDescent="0.2">
      <c r="B12" s="76"/>
      <c r="C12" s="191"/>
      <c r="D12" s="189"/>
      <c r="E12" s="191"/>
      <c r="F12" s="71"/>
      <c r="G12" s="191"/>
      <c r="H12" s="191"/>
      <c r="I12" s="71"/>
      <c r="J12" s="71"/>
      <c r="K12" s="71"/>
      <c r="L12" s="71"/>
      <c r="M12" s="71"/>
      <c r="N12" s="71"/>
      <c r="O12" s="191"/>
      <c r="P12" s="78"/>
      <c r="Q12" s="110"/>
      <c r="R12" s="110"/>
    </row>
    <row r="13" spans="2:18" x14ac:dyDescent="0.2">
      <c r="B13" s="76"/>
      <c r="C13" s="191"/>
      <c r="D13" s="199" t="s">
        <v>549</v>
      </c>
      <c r="E13" s="191"/>
      <c r="F13" s="71"/>
      <c r="G13" s="191"/>
      <c r="H13" s="66" t="str">
        <f>tab!D$2</f>
        <v>2014/15</v>
      </c>
      <c r="I13" s="66" t="str">
        <f>tab!E$2</f>
        <v>2015/16</v>
      </c>
      <c r="J13" s="66" t="str">
        <f>tab!F$2</f>
        <v>2016/17</v>
      </c>
      <c r="K13" s="66" t="str">
        <f>tab!G$2</f>
        <v>2017/18</v>
      </c>
      <c r="L13" s="66" t="str">
        <f>tab!H$2</f>
        <v>2018/19</v>
      </c>
      <c r="M13" s="66" t="str">
        <f>tab!I$2</f>
        <v>2019/20</v>
      </c>
      <c r="N13" s="66" t="str">
        <f>tab!J$2</f>
        <v>2020/21</v>
      </c>
      <c r="O13" s="191"/>
      <c r="P13" s="78"/>
      <c r="Q13" s="110"/>
      <c r="R13" s="110"/>
    </row>
    <row r="14" spans="2:18" x14ac:dyDescent="0.2">
      <c r="B14" s="76"/>
      <c r="C14" s="191"/>
      <c r="D14" s="598"/>
      <c r="E14" s="35"/>
      <c r="F14" s="43"/>
      <c r="G14" s="35"/>
      <c r="H14" s="537">
        <v>0</v>
      </c>
      <c r="I14" s="537">
        <f>H14</f>
        <v>0</v>
      </c>
      <c r="J14" s="537">
        <f t="shared" ref="J14:N14" si="0">I14</f>
        <v>0</v>
      </c>
      <c r="K14" s="537">
        <f t="shared" si="0"/>
        <v>0</v>
      </c>
      <c r="L14" s="537">
        <f t="shared" si="0"/>
        <v>0</v>
      </c>
      <c r="M14" s="537">
        <f t="shared" si="0"/>
        <v>0</v>
      </c>
      <c r="N14" s="537">
        <f t="shared" si="0"/>
        <v>0</v>
      </c>
      <c r="O14" s="191"/>
      <c r="P14" s="78"/>
      <c r="Q14" s="110"/>
      <c r="R14" s="110"/>
    </row>
    <row r="15" spans="2:18" x14ac:dyDescent="0.2">
      <c r="B15" s="76"/>
      <c r="C15" s="191"/>
      <c r="D15" s="598"/>
      <c r="E15" s="35"/>
      <c r="F15" s="43"/>
      <c r="G15" s="35"/>
      <c r="H15" s="537">
        <v>0</v>
      </c>
      <c r="I15" s="537">
        <f t="shared" ref="I15:N18" si="1">H15</f>
        <v>0</v>
      </c>
      <c r="J15" s="537">
        <f t="shared" si="1"/>
        <v>0</v>
      </c>
      <c r="K15" s="537">
        <f t="shared" si="1"/>
        <v>0</v>
      </c>
      <c r="L15" s="537">
        <f t="shared" si="1"/>
        <v>0</v>
      </c>
      <c r="M15" s="537">
        <f t="shared" si="1"/>
        <v>0</v>
      </c>
      <c r="N15" s="537">
        <f t="shared" si="1"/>
        <v>0</v>
      </c>
      <c r="O15" s="191"/>
      <c r="P15" s="78"/>
      <c r="Q15" s="110"/>
      <c r="R15" s="110"/>
    </row>
    <row r="16" spans="2:18" x14ac:dyDescent="0.2">
      <c r="B16" s="76"/>
      <c r="C16" s="191"/>
      <c r="D16" s="598"/>
      <c r="E16" s="35"/>
      <c r="F16" s="43"/>
      <c r="G16" s="35"/>
      <c r="H16" s="537">
        <v>0</v>
      </c>
      <c r="I16" s="537">
        <f t="shared" si="1"/>
        <v>0</v>
      </c>
      <c r="J16" s="537">
        <f t="shared" si="1"/>
        <v>0</v>
      </c>
      <c r="K16" s="537">
        <f t="shared" si="1"/>
        <v>0</v>
      </c>
      <c r="L16" s="537">
        <f t="shared" si="1"/>
        <v>0</v>
      </c>
      <c r="M16" s="537">
        <f t="shared" si="1"/>
        <v>0</v>
      </c>
      <c r="N16" s="537">
        <f t="shared" si="1"/>
        <v>0</v>
      </c>
      <c r="O16" s="191"/>
      <c r="P16" s="78"/>
      <c r="Q16" s="110"/>
      <c r="R16" s="110"/>
    </row>
    <row r="17" spans="2:18" x14ac:dyDescent="0.2">
      <c r="B17" s="76"/>
      <c r="C17" s="191"/>
      <c r="D17" s="590"/>
      <c r="E17" s="35"/>
      <c r="F17" s="43"/>
      <c r="G17" s="35"/>
      <c r="H17" s="537">
        <v>0</v>
      </c>
      <c r="I17" s="537">
        <f t="shared" si="1"/>
        <v>0</v>
      </c>
      <c r="J17" s="537">
        <f t="shared" si="1"/>
        <v>0</v>
      </c>
      <c r="K17" s="537">
        <f t="shared" si="1"/>
        <v>0</v>
      </c>
      <c r="L17" s="537">
        <f t="shared" si="1"/>
        <v>0</v>
      </c>
      <c r="M17" s="537">
        <f t="shared" si="1"/>
        <v>0</v>
      </c>
      <c r="N17" s="537">
        <f t="shared" si="1"/>
        <v>0</v>
      </c>
      <c r="O17" s="222"/>
      <c r="P17" s="78"/>
      <c r="Q17" s="110"/>
      <c r="R17" s="110"/>
    </row>
    <row r="18" spans="2:18" x14ac:dyDescent="0.2">
      <c r="B18" s="76"/>
      <c r="C18" s="191"/>
      <c r="D18" s="590"/>
      <c r="E18" s="35"/>
      <c r="F18" s="43"/>
      <c r="G18" s="35"/>
      <c r="H18" s="537">
        <v>0</v>
      </c>
      <c r="I18" s="537">
        <f t="shared" si="1"/>
        <v>0</v>
      </c>
      <c r="J18" s="537">
        <f t="shared" si="1"/>
        <v>0</v>
      </c>
      <c r="K18" s="537">
        <f t="shared" si="1"/>
        <v>0</v>
      </c>
      <c r="L18" s="537">
        <f t="shared" si="1"/>
        <v>0</v>
      </c>
      <c r="M18" s="537">
        <f t="shared" si="1"/>
        <v>0</v>
      </c>
      <c r="N18" s="537">
        <f t="shared" si="1"/>
        <v>0</v>
      </c>
      <c r="O18" s="222"/>
      <c r="P18" s="78"/>
      <c r="Q18" s="110"/>
      <c r="R18" s="110"/>
    </row>
    <row r="19" spans="2:18" x14ac:dyDescent="0.2">
      <c r="B19" s="76"/>
      <c r="C19" s="191"/>
      <c r="D19" s="35"/>
      <c r="E19" s="35"/>
      <c r="F19" s="186"/>
      <c r="G19" s="35"/>
      <c r="H19" s="546">
        <f t="shared" ref="H19:N19" si="2">SUM(H14:H18)</f>
        <v>0</v>
      </c>
      <c r="I19" s="546">
        <f t="shared" si="2"/>
        <v>0</v>
      </c>
      <c r="J19" s="546">
        <f t="shared" si="2"/>
        <v>0</v>
      </c>
      <c r="K19" s="546">
        <f t="shared" si="2"/>
        <v>0</v>
      </c>
      <c r="L19" s="546">
        <f t="shared" si="2"/>
        <v>0</v>
      </c>
      <c r="M19" s="546">
        <f t="shared" si="2"/>
        <v>0</v>
      </c>
      <c r="N19" s="546">
        <f t="shared" si="2"/>
        <v>0</v>
      </c>
      <c r="O19" s="191"/>
      <c r="P19" s="78"/>
      <c r="Q19" s="110"/>
      <c r="R19" s="110"/>
    </row>
    <row r="20" spans="2:18" x14ac:dyDescent="0.2">
      <c r="B20" s="76"/>
      <c r="C20" s="191"/>
      <c r="D20" s="35"/>
      <c r="E20" s="35"/>
      <c r="F20" s="186"/>
      <c r="G20" s="35"/>
      <c r="H20" s="1640"/>
      <c r="I20" s="1640"/>
      <c r="J20" s="1640"/>
      <c r="K20" s="1640"/>
      <c r="L20" s="1640"/>
      <c r="M20" s="1640"/>
      <c r="N20" s="1640"/>
      <c r="O20" s="191"/>
      <c r="P20" s="78"/>
      <c r="Q20" s="110"/>
      <c r="R20" s="110"/>
    </row>
    <row r="21" spans="2:18" x14ac:dyDescent="0.2">
      <c r="B21" s="76"/>
      <c r="C21" s="191"/>
      <c r="D21" s="199" t="s">
        <v>550</v>
      </c>
      <c r="E21" s="35"/>
      <c r="F21" s="186"/>
      <c r="G21" s="35"/>
      <c r="H21" s="1641">
        <f>tab!E$4</f>
        <v>2015</v>
      </c>
      <c r="I21" s="1641">
        <f>tab!F$4</f>
        <v>2016</v>
      </c>
      <c r="J21" s="1641">
        <f>tab!G$4</f>
        <v>2017</v>
      </c>
      <c r="K21" s="1641">
        <f>tab!H$4</f>
        <v>2018</v>
      </c>
      <c r="L21" s="1641">
        <f>tab!I$4</f>
        <v>2019</v>
      </c>
      <c r="M21" s="1641">
        <f>tab!J$4</f>
        <v>2020</v>
      </c>
      <c r="N21" s="1641">
        <f>tab!K$4</f>
        <v>2021</v>
      </c>
      <c r="O21" s="191"/>
      <c r="P21" s="78"/>
      <c r="Q21" s="110"/>
      <c r="R21" s="110"/>
    </row>
    <row r="22" spans="2:18" x14ac:dyDescent="0.2">
      <c r="B22" s="76"/>
      <c r="C22" s="191"/>
      <c r="D22" s="598"/>
      <c r="E22" s="35"/>
      <c r="F22" s="43"/>
      <c r="G22" s="35"/>
      <c r="H22" s="1665">
        <v>0</v>
      </c>
      <c r="I22" s="1665">
        <v>0</v>
      </c>
      <c r="J22" s="1665">
        <v>0</v>
      </c>
      <c r="K22" s="1665">
        <v>0</v>
      </c>
      <c r="L22" s="1665">
        <v>0</v>
      </c>
      <c r="M22" s="1665">
        <v>0</v>
      </c>
      <c r="N22" s="1665">
        <v>0</v>
      </c>
      <c r="O22" s="191"/>
      <c r="P22" s="78"/>
      <c r="Q22" s="110"/>
      <c r="R22" s="110"/>
    </row>
    <row r="23" spans="2:18" x14ac:dyDescent="0.2">
      <c r="B23" s="76"/>
      <c r="C23" s="191"/>
      <c r="D23" s="590"/>
      <c r="E23" s="35"/>
      <c r="F23" s="43"/>
      <c r="G23" s="35"/>
      <c r="H23" s="1665">
        <v>0</v>
      </c>
      <c r="I23" s="1665">
        <v>0</v>
      </c>
      <c r="J23" s="1665">
        <v>0</v>
      </c>
      <c r="K23" s="1665">
        <v>0</v>
      </c>
      <c r="L23" s="1665">
        <v>0</v>
      </c>
      <c r="M23" s="1665">
        <v>0</v>
      </c>
      <c r="N23" s="1665">
        <v>0</v>
      </c>
      <c r="O23" s="191"/>
      <c r="P23" s="78"/>
      <c r="Q23" s="110"/>
      <c r="R23" s="110"/>
    </row>
    <row r="24" spans="2:18" x14ac:dyDescent="0.2">
      <c r="B24" s="76"/>
      <c r="C24" s="191"/>
      <c r="D24" s="590"/>
      <c r="E24" s="35"/>
      <c r="F24" s="43"/>
      <c r="G24" s="35"/>
      <c r="H24" s="1665">
        <v>0</v>
      </c>
      <c r="I24" s="1665">
        <v>0</v>
      </c>
      <c r="J24" s="1665">
        <v>0</v>
      </c>
      <c r="K24" s="1665">
        <v>0</v>
      </c>
      <c r="L24" s="1665">
        <v>0</v>
      </c>
      <c r="M24" s="1665">
        <v>0</v>
      </c>
      <c r="N24" s="1665">
        <v>0</v>
      </c>
      <c r="O24" s="191"/>
      <c r="P24" s="78"/>
      <c r="Q24" s="110"/>
      <c r="R24" s="110"/>
    </row>
    <row r="25" spans="2:18" x14ac:dyDescent="0.2">
      <c r="B25" s="76"/>
      <c r="C25" s="191"/>
      <c r="D25" s="590"/>
      <c r="E25" s="35"/>
      <c r="F25" s="43"/>
      <c r="G25" s="35"/>
      <c r="H25" s="1665">
        <v>0</v>
      </c>
      <c r="I25" s="1665">
        <v>0</v>
      </c>
      <c r="J25" s="1665">
        <v>0</v>
      </c>
      <c r="K25" s="1665">
        <v>0</v>
      </c>
      <c r="L25" s="1665">
        <v>0</v>
      </c>
      <c r="M25" s="1665">
        <v>0</v>
      </c>
      <c r="N25" s="1665">
        <v>0</v>
      </c>
      <c r="O25" s="191"/>
      <c r="P25" s="78"/>
      <c r="Q25" s="110"/>
      <c r="R25" s="110"/>
    </row>
    <row r="26" spans="2:18" x14ac:dyDescent="0.2">
      <c r="B26" s="76"/>
      <c r="C26" s="191"/>
      <c r="D26" s="590"/>
      <c r="E26" s="35"/>
      <c r="F26" s="43"/>
      <c r="G26" s="35"/>
      <c r="H26" s="1665">
        <v>0</v>
      </c>
      <c r="I26" s="1665">
        <v>0</v>
      </c>
      <c r="J26" s="1665">
        <v>0</v>
      </c>
      <c r="K26" s="1665">
        <v>0</v>
      </c>
      <c r="L26" s="1665">
        <v>0</v>
      </c>
      <c r="M26" s="1665">
        <v>0</v>
      </c>
      <c r="N26" s="1665">
        <v>0</v>
      </c>
      <c r="O26" s="191"/>
      <c r="P26" s="78"/>
      <c r="Q26" s="110"/>
      <c r="R26" s="110"/>
    </row>
    <row r="27" spans="2:18" x14ac:dyDescent="0.2">
      <c r="B27" s="76"/>
      <c r="C27" s="191"/>
      <c r="D27" s="35"/>
      <c r="E27" s="35"/>
      <c r="F27" s="186"/>
      <c r="G27" s="35"/>
      <c r="H27" s="546">
        <f>SUM(H22:H26)</f>
        <v>0</v>
      </c>
      <c r="I27" s="546">
        <f t="shared" ref="I27:N27" si="3">SUM(I22:I26)</f>
        <v>0</v>
      </c>
      <c r="J27" s="546">
        <f t="shared" si="3"/>
        <v>0</v>
      </c>
      <c r="K27" s="546">
        <f t="shared" si="3"/>
        <v>0</v>
      </c>
      <c r="L27" s="546">
        <f t="shared" si="3"/>
        <v>0</v>
      </c>
      <c r="M27" s="546">
        <f t="shared" si="3"/>
        <v>0</v>
      </c>
      <c r="N27" s="546">
        <f t="shared" si="3"/>
        <v>0</v>
      </c>
      <c r="O27" s="191"/>
      <c r="P27" s="78"/>
      <c r="Q27" s="110"/>
      <c r="R27" s="110"/>
    </row>
    <row r="28" spans="2:18" x14ac:dyDescent="0.2">
      <c r="B28" s="76"/>
      <c r="C28" s="82"/>
      <c r="D28" s="40"/>
      <c r="E28" s="40"/>
      <c r="F28" s="41"/>
      <c r="G28" s="40"/>
      <c r="H28" s="1642"/>
      <c r="I28" s="1642"/>
      <c r="J28" s="1642"/>
      <c r="K28" s="1642"/>
      <c r="L28" s="1642"/>
      <c r="M28" s="1642"/>
      <c r="N28" s="1642"/>
      <c r="O28" s="82"/>
      <c r="P28" s="78"/>
      <c r="Q28" s="110"/>
      <c r="R28" s="110"/>
    </row>
    <row r="29" spans="2:18" x14ac:dyDescent="0.2">
      <c r="B29" s="76"/>
      <c r="C29" s="1646"/>
      <c r="D29" s="1643"/>
      <c r="E29" s="1643"/>
      <c r="F29" s="1644"/>
      <c r="G29" s="1643"/>
      <c r="H29" s="1645"/>
      <c r="I29" s="1645"/>
      <c r="J29" s="1645"/>
      <c r="K29" s="1645"/>
      <c r="L29" s="1645"/>
      <c r="M29" s="1645"/>
      <c r="N29" s="1645"/>
      <c r="O29" s="1647"/>
      <c r="P29" s="78"/>
      <c r="Q29" s="110"/>
      <c r="R29" s="110"/>
    </row>
    <row r="30" spans="2:18" x14ac:dyDescent="0.2">
      <c r="B30" s="76"/>
      <c r="C30" s="191"/>
      <c r="D30" s="199"/>
      <c r="E30" s="191"/>
      <c r="F30" s="71"/>
      <c r="G30" s="191"/>
      <c r="H30" s="191"/>
      <c r="I30" s="71"/>
      <c r="J30" s="71"/>
      <c r="K30" s="71"/>
      <c r="L30" s="71"/>
      <c r="M30" s="71"/>
      <c r="N30" s="71"/>
      <c r="O30" s="191"/>
      <c r="P30" s="78"/>
      <c r="Q30" s="110"/>
      <c r="R30" s="110"/>
    </row>
    <row r="31" spans="2:18" x14ac:dyDescent="0.2">
      <c r="B31" s="76"/>
      <c r="C31" s="191"/>
      <c r="D31" s="1639" t="str">
        <f>pers!D196</f>
        <v>project 2</v>
      </c>
      <c r="E31" s="191"/>
      <c r="F31" s="71"/>
      <c r="G31" s="191"/>
      <c r="H31" s="191"/>
      <c r="I31" s="71"/>
      <c r="J31" s="71"/>
      <c r="K31" s="71"/>
      <c r="L31" s="71"/>
      <c r="M31" s="71"/>
      <c r="N31" s="71"/>
      <c r="O31" s="191"/>
      <c r="P31" s="78"/>
      <c r="Q31" s="110"/>
      <c r="R31" s="110"/>
    </row>
    <row r="32" spans="2:18" x14ac:dyDescent="0.2">
      <c r="B32" s="76"/>
      <c r="C32" s="191"/>
      <c r="D32" s="189"/>
      <c r="E32" s="191"/>
      <c r="F32" s="71"/>
      <c r="G32" s="191"/>
      <c r="H32" s="191"/>
      <c r="I32" s="71"/>
      <c r="J32" s="71"/>
      <c r="K32" s="71"/>
      <c r="L32" s="71"/>
      <c r="M32" s="71"/>
      <c r="N32" s="71"/>
      <c r="O32" s="191"/>
      <c r="P32" s="78"/>
      <c r="Q32" s="110"/>
      <c r="R32" s="110"/>
    </row>
    <row r="33" spans="2:18" x14ac:dyDescent="0.2">
      <c r="B33" s="76"/>
      <c r="C33" s="191"/>
      <c r="D33" s="199" t="s">
        <v>549</v>
      </c>
      <c r="E33" s="191"/>
      <c r="F33" s="71"/>
      <c r="G33" s="191"/>
      <c r="H33" s="66" t="str">
        <f>tab!D$2</f>
        <v>2014/15</v>
      </c>
      <c r="I33" s="66" t="str">
        <f>tab!E$2</f>
        <v>2015/16</v>
      </c>
      <c r="J33" s="66" t="str">
        <f>tab!F$2</f>
        <v>2016/17</v>
      </c>
      <c r="K33" s="66" t="str">
        <f>tab!G$2</f>
        <v>2017/18</v>
      </c>
      <c r="L33" s="66" t="str">
        <f>tab!H$2</f>
        <v>2018/19</v>
      </c>
      <c r="M33" s="66" t="str">
        <f>tab!I$2</f>
        <v>2019/20</v>
      </c>
      <c r="N33" s="66" t="str">
        <f>tab!J$2</f>
        <v>2020/21</v>
      </c>
      <c r="O33" s="191"/>
      <c r="P33" s="78"/>
      <c r="Q33" s="110"/>
      <c r="R33" s="110"/>
    </row>
    <row r="34" spans="2:18" x14ac:dyDescent="0.2">
      <c r="B34" s="76"/>
      <c r="C34" s="191"/>
      <c r="D34" s="598"/>
      <c r="E34" s="35"/>
      <c r="F34" s="43"/>
      <c r="G34" s="35"/>
      <c r="H34" s="537">
        <v>0</v>
      </c>
      <c r="I34" s="537">
        <f>H34</f>
        <v>0</v>
      </c>
      <c r="J34" s="537">
        <f t="shared" ref="J34:N34" si="4">I34</f>
        <v>0</v>
      </c>
      <c r="K34" s="537">
        <f t="shared" si="4"/>
        <v>0</v>
      </c>
      <c r="L34" s="537">
        <f t="shared" si="4"/>
        <v>0</v>
      </c>
      <c r="M34" s="537">
        <f t="shared" si="4"/>
        <v>0</v>
      </c>
      <c r="N34" s="537">
        <f t="shared" si="4"/>
        <v>0</v>
      </c>
      <c r="O34" s="191"/>
      <c r="P34" s="78"/>
      <c r="Q34" s="110"/>
      <c r="R34" s="110"/>
    </row>
    <row r="35" spans="2:18" x14ac:dyDescent="0.2">
      <c r="B35" s="76"/>
      <c r="C35" s="191"/>
      <c r="D35" s="598"/>
      <c r="E35" s="35"/>
      <c r="F35" s="43"/>
      <c r="G35" s="35"/>
      <c r="H35" s="537">
        <v>0</v>
      </c>
      <c r="I35" s="537">
        <f t="shared" ref="I35:N35" si="5">H35</f>
        <v>0</v>
      </c>
      <c r="J35" s="537">
        <f t="shared" si="5"/>
        <v>0</v>
      </c>
      <c r="K35" s="537">
        <f t="shared" si="5"/>
        <v>0</v>
      </c>
      <c r="L35" s="537">
        <f t="shared" si="5"/>
        <v>0</v>
      </c>
      <c r="M35" s="537">
        <f t="shared" si="5"/>
        <v>0</v>
      </c>
      <c r="N35" s="537">
        <f t="shared" si="5"/>
        <v>0</v>
      </c>
      <c r="O35" s="191"/>
      <c r="P35" s="78"/>
      <c r="Q35" s="110"/>
      <c r="R35" s="110"/>
    </row>
    <row r="36" spans="2:18" x14ac:dyDescent="0.2">
      <c r="B36" s="76"/>
      <c r="C36" s="191"/>
      <c r="D36" s="598"/>
      <c r="E36" s="35"/>
      <c r="F36" s="43"/>
      <c r="G36" s="35"/>
      <c r="H36" s="537">
        <v>0</v>
      </c>
      <c r="I36" s="537">
        <f t="shared" ref="I36:N36" si="6">H36</f>
        <v>0</v>
      </c>
      <c r="J36" s="537">
        <f t="shared" si="6"/>
        <v>0</v>
      </c>
      <c r="K36" s="537">
        <f t="shared" si="6"/>
        <v>0</v>
      </c>
      <c r="L36" s="537">
        <f t="shared" si="6"/>
        <v>0</v>
      </c>
      <c r="M36" s="537">
        <f t="shared" si="6"/>
        <v>0</v>
      </c>
      <c r="N36" s="537">
        <f t="shared" si="6"/>
        <v>0</v>
      </c>
      <c r="O36" s="191"/>
      <c r="P36" s="78"/>
      <c r="Q36" s="110"/>
      <c r="R36" s="110"/>
    </row>
    <row r="37" spans="2:18" x14ac:dyDescent="0.2">
      <c r="B37" s="76"/>
      <c r="C37" s="191"/>
      <c r="D37" s="598"/>
      <c r="E37" s="35"/>
      <c r="F37" s="43"/>
      <c r="G37" s="35"/>
      <c r="H37" s="537">
        <v>0</v>
      </c>
      <c r="I37" s="537">
        <f t="shared" ref="I37:N37" si="7">H37</f>
        <v>0</v>
      </c>
      <c r="J37" s="537">
        <f t="shared" si="7"/>
        <v>0</v>
      </c>
      <c r="K37" s="537">
        <f t="shared" si="7"/>
        <v>0</v>
      </c>
      <c r="L37" s="537">
        <f t="shared" si="7"/>
        <v>0</v>
      </c>
      <c r="M37" s="537">
        <f t="shared" si="7"/>
        <v>0</v>
      </c>
      <c r="N37" s="537">
        <f t="shared" si="7"/>
        <v>0</v>
      </c>
      <c r="O37" s="222"/>
      <c r="P37" s="78"/>
      <c r="Q37" s="110"/>
      <c r="R37" s="110"/>
    </row>
    <row r="38" spans="2:18" x14ac:dyDescent="0.2">
      <c r="B38" s="76"/>
      <c r="C38" s="191"/>
      <c r="D38" s="590"/>
      <c r="E38" s="35"/>
      <c r="F38" s="43"/>
      <c r="G38" s="35"/>
      <c r="H38" s="537">
        <v>0</v>
      </c>
      <c r="I38" s="537">
        <f t="shared" ref="I38:N38" si="8">H38</f>
        <v>0</v>
      </c>
      <c r="J38" s="537">
        <f t="shared" si="8"/>
        <v>0</v>
      </c>
      <c r="K38" s="537">
        <f t="shared" si="8"/>
        <v>0</v>
      </c>
      <c r="L38" s="537">
        <f t="shared" si="8"/>
        <v>0</v>
      </c>
      <c r="M38" s="537">
        <f t="shared" si="8"/>
        <v>0</v>
      </c>
      <c r="N38" s="537">
        <f t="shared" si="8"/>
        <v>0</v>
      </c>
      <c r="O38" s="222"/>
      <c r="P38" s="78"/>
      <c r="Q38" s="110"/>
      <c r="R38" s="110"/>
    </row>
    <row r="39" spans="2:18" x14ac:dyDescent="0.2">
      <c r="B39" s="76"/>
      <c r="C39" s="191"/>
      <c r="D39" s="35"/>
      <c r="E39" s="35"/>
      <c r="F39" s="186"/>
      <c r="G39" s="35"/>
      <c r="H39" s="546">
        <f t="shared" ref="H39:N39" si="9">SUM(H34:H38)</f>
        <v>0</v>
      </c>
      <c r="I39" s="546">
        <f t="shared" si="9"/>
        <v>0</v>
      </c>
      <c r="J39" s="546">
        <f t="shared" si="9"/>
        <v>0</v>
      </c>
      <c r="K39" s="546">
        <f t="shared" si="9"/>
        <v>0</v>
      </c>
      <c r="L39" s="546">
        <f t="shared" si="9"/>
        <v>0</v>
      </c>
      <c r="M39" s="546">
        <f t="shared" si="9"/>
        <v>0</v>
      </c>
      <c r="N39" s="546">
        <f t="shared" si="9"/>
        <v>0</v>
      </c>
      <c r="O39" s="191"/>
      <c r="P39" s="78"/>
      <c r="Q39" s="110"/>
      <c r="R39" s="110"/>
    </row>
    <row r="40" spans="2:18" x14ac:dyDescent="0.2">
      <c r="B40" s="76"/>
      <c r="C40" s="191"/>
      <c r="D40" s="35"/>
      <c r="E40" s="35"/>
      <c r="F40" s="186"/>
      <c r="G40" s="35"/>
      <c r="H40" s="1640"/>
      <c r="I40" s="1640"/>
      <c r="J40" s="1640"/>
      <c r="K40" s="1640"/>
      <c r="L40" s="1640"/>
      <c r="M40" s="1640"/>
      <c r="N40" s="1640"/>
      <c r="O40" s="191"/>
      <c r="P40" s="78"/>
      <c r="Q40" s="110"/>
      <c r="R40" s="110"/>
    </row>
    <row r="41" spans="2:18" x14ac:dyDescent="0.2">
      <c r="B41" s="76"/>
      <c r="C41" s="191"/>
      <c r="D41" s="199" t="s">
        <v>550</v>
      </c>
      <c r="E41" s="35"/>
      <c r="F41" s="186"/>
      <c r="G41" s="35"/>
      <c r="H41" s="1641">
        <f>tab!E$4</f>
        <v>2015</v>
      </c>
      <c r="I41" s="1641">
        <f>tab!F$4</f>
        <v>2016</v>
      </c>
      <c r="J41" s="1641">
        <f>tab!G$4</f>
        <v>2017</v>
      </c>
      <c r="K41" s="1641">
        <f>tab!H$4</f>
        <v>2018</v>
      </c>
      <c r="L41" s="1641">
        <f>tab!I$4</f>
        <v>2019</v>
      </c>
      <c r="M41" s="1641">
        <f>tab!J$4</f>
        <v>2020</v>
      </c>
      <c r="N41" s="1641">
        <f>tab!K$4</f>
        <v>2021</v>
      </c>
      <c r="O41" s="191"/>
      <c r="P41" s="78"/>
      <c r="Q41" s="110"/>
      <c r="R41" s="110"/>
    </row>
    <row r="42" spans="2:18" x14ac:dyDescent="0.2">
      <c r="B42" s="76"/>
      <c r="C42" s="191"/>
      <c r="D42" s="598"/>
      <c r="E42" s="35"/>
      <c r="F42" s="43"/>
      <c r="G42" s="35"/>
      <c r="H42" s="1665">
        <v>0</v>
      </c>
      <c r="I42" s="1665">
        <v>0</v>
      </c>
      <c r="J42" s="1665">
        <v>0</v>
      </c>
      <c r="K42" s="1665">
        <v>0</v>
      </c>
      <c r="L42" s="1665">
        <v>0</v>
      </c>
      <c r="M42" s="1665">
        <v>0</v>
      </c>
      <c r="N42" s="1665">
        <v>0</v>
      </c>
      <c r="O42" s="191"/>
      <c r="P42" s="78"/>
      <c r="Q42" s="110"/>
      <c r="R42" s="110"/>
    </row>
    <row r="43" spans="2:18" x14ac:dyDescent="0.2">
      <c r="B43" s="76"/>
      <c r="C43" s="191"/>
      <c r="D43" s="590"/>
      <c r="E43" s="35"/>
      <c r="F43" s="43"/>
      <c r="G43" s="35"/>
      <c r="H43" s="1665">
        <v>0</v>
      </c>
      <c r="I43" s="1665">
        <v>0</v>
      </c>
      <c r="J43" s="1665">
        <v>0</v>
      </c>
      <c r="K43" s="1665">
        <v>0</v>
      </c>
      <c r="L43" s="1665">
        <v>0</v>
      </c>
      <c r="M43" s="1665">
        <v>0</v>
      </c>
      <c r="N43" s="1665">
        <v>0</v>
      </c>
      <c r="O43" s="191"/>
      <c r="P43" s="78"/>
      <c r="Q43" s="110"/>
      <c r="R43" s="110"/>
    </row>
    <row r="44" spans="2:18" x14ac:dyDescent="0.2">
      <c r="B44" s="76"/>
      <c r="C44" s="191"/>
      <c r="D44" s="590"/>
      <c r="E44" s="35"/>
      <c r="F44" s="43"/>
      <c r="G44" s="35"/>
      <c r="H44" s="1665">
        <v>0</v>
      </c>
      <c r="I44" s="1665">
        <v>0</v>
      </c>
      <c r="J44" s="1665">
        <v>0</v>
      </c>
      <c r="K44" s="1665">
        <v>0</v>
      </c>
      <c r="L44" s="1665">
        <v>0</v>
      </c>
      <c r="M44" s="1665">
        <v>0</v>
      </c>
      <c r="N44" s="1665">
        <v>0</v>
      </c>
      <c r="O44" s="191"/>
      <c r="P44" s="78"/>
      <c r="Q44" s="110"/>
      <c r="R44" s="110"/>
    </row>
    <row r="45" spans="2:18" x14ac:dyDescent="0.2">
      <c r="B45" s="76"/>
      <c r="C45" s="191"/>
      <c r="D45" s="590"/>
      <c r="E45" s="35"/>
      <c r="F45" s="43"/>
      <c r="G45" s="35"/>
      <c r="H45" s="1665">
        <v>0</v>
      </c>
      <c r="I45" s="1665">
        <v>0</v>
      </c>
      <c r="J45" s="1665">
        <v>0</v>
      </c>
      <c r="K45" s="1665">
        <v>0</v>
      </c>
      <c r="L45" s="1665">
        <v>0</v>
      </c>
      <c r="M45" s="1665">
        <v>0</v>
      </c>
      <c r="N45" s="1665">
        <v>0</v>
      </c>
      <c r="O45" s="191"/>
      <c r="P45" s="78"/>
      <c r="Q45" s="110"/>
      <c r="R45" s="110"/>
    </row>
    <row r="46" spans="2:18" x14ac:dyDescent="0.2">
      <c r="B46" s="76"/>
      <c r="C46" s="191"/>
      <c r="D46" s="590"/>
      <c r="E46" s="35"/>
      <c r="F46" s="43"/>
      <c r="G46" s="35"/>
      <c r="H46" s="1665">
        <v>0</v>
      </c>
      <c r="I46" s="1665">
        <v>0</v>
      </c>
      <c r="J46" s="1665">
        <v>0</v>
      </c>
      <c r="K46" s="1665">
        <v>0</v>
      </c>
      <c r="L46" s="1665">
        <v>0</v>
      </c>
      <c r="M46" s="1665">
        <v>0</v>
      </c>
      <c r="N46" s="1665">
        <v>0</v>
      </c>
      <c r="O46" s="191"/>
      <c r="P46" s="78"/>
      <c r="Q46" s="110"/>
      <c r="R46" s="110"/>
    </row>
    <row r="47" spans="2:18" x14ac:dyDescent="0.2">
      <c r="B47" s="76"/>
      <c r="C47" s="191"/>
      <c r="D47" s="35"/>
      <c r="E47" s="35"/>
      <c r="F47" s="186"/>
      <c r="G47" s="35"/>
      <c r="H47" s="546">
        <f>SUM(H42:H46)</f>
        <v>0</v>
      </c>
      <c r="I47" s="546">
        <f t="shared" ref="I47" si="10">SUM(I42:I46)</f>
        <v>0</v>
      </c>
      <c r="J47" s="546">
        <f t="shared" ref="J47" si="11">SUM(J42:J46)</f>
        <v>0</v>
      </c>
      <c r="K47" s="546">
        <f t="shared" ref="K47" si="12">SUM(K42:K46)</f>
        <v>0</v>
      </c>
      <c r="L47" s="546">
        <f t="shared" ref="L47" si="13">SUM(L42:L46)</f>
        <v>0</v>
      </c>
      <c r="M47" s="546">
        <f t="shared" ref="M47" si="14">SUM(M42:M46)</f>
        <v>0</v>
      </c>
      <c r="N47" s="546">
        <f t="shared" ref="N47" si="15">SUM(N42:N46)</f>
        <v>0</v>
      </c>
      <c r="O47" s="191"/>
      <c r="P47" s="78"/>
      <c r="Q47" s="110"/>
      <c r="R47" s="110"/>
    </row>
    <row r="48" spans="2:18" x14ac:dyDescent="0.2">
      <c r="B48" s="76"/>
      <c r="C48" s="82"/>
      <c r="D48" s="40"/>
      <c r="E48" s="40"/>
      <c r="F48" s="41"/>
      <c r="G48" s="40"/>
      <c r="H48" s="1642"/>
      <c r="I48" s="1642"/>
      <c r="J48" s="1642"/>
      <c r="K48" s="1642"/>
      <c r="L48" s="1642"/>
      <c r="M48" s="1642"/>
      <c r="N48" s="1642"/>
      <c r="O48" s="82"/>
      <c r="P48" s="78"/>
      <c r="Q48" s="110"/>
      <c r="R48" s="110"/>
    </row>
    <row r="49" spans="2:18" x14ac:dyDescent="0.2">
      <c r="B49" s="76"/>
      <c r="C49" s="1646"/>
      <c r="D49" s="1643"/>
      <c r="E49" s="1643"/>
      <c r="F49" s="1644"/>
      <c r="G49" s="1643"/>
      <c r="H49" s="1645"/>
      <c r="I49" s="1645"/>
      <c r="J49" s="1645"/>
      <c r="K49" s="1645"/>
      <c r="L49" s="1645"/>
      <c r="M49" s="1645"/>
      <c r="N49" s="1645"/>
      <c r="O49" s="1647"/>
      <c r="P49" s="78"/>
      <c r="Q49" s="110"/>
      <c r="R49" s="110"/>
    </row>
    <row r="50" spans="2:18" x14ac:dyDescent="0.2">
      <c r="B50" s="76"/>
      <c r="C50" s="191"/>
      <c r="D50" s="199"/>
      <c r="E50" s="191"/>
      <c r="F50" s="71"/>
      <c r="G50" s="191"/>
      <c r="H50" s="191"/>
      <c r="I50" s="71"/>
      <c r="J50" s="71"/>
      <c r="K50" s="71"/>
      <c r="L50" s="71"/>
      <c r="M50" s="71"/>
      <c r="N50" s="71"/>
      <c r="O50" s="191"/>
      <c r="P50" s="78"/>
      <c r="Q50" s="110"/>
      <c r="R50" s="110"/>
    </row>
    <row r="51" spans="2:18" x14ac:dyDescent="0.2">
      <c r="B51" s="76"/>
      <c r="C51" s="191"/>
      <c r="D51" s="1639" t="str">
        <f>pers!D197</f>
        <v>project 3</v>
      </c>
      <c r="E51" s="191"/>
      <c r="F51" s="71"/>
      <c r="G51" s="191"/>
      <c r="H51" s="191"/>
      <c r="I51" s="71"/>
      <c r="J51" s="71"/>
      <c r="K51" s="71"/>
      <c r="L51" s="71"/>
      <c r="M51" s="71"/>
      <c r="N51" s="71"/>
      <c r="O51" s="191"/>
      <c r="P51" s="78"/>
      <c r="Q51" s="110"/>
      <c r="R51" s="110"/>
    </row>
    <row r="52" spans="2:18" x14ac:dyDescent="0.2">
      <c r="B52" s="76"/>
      <c r="C52" s="191"/>
      <c r="D52" s="189"/>
      <c r="E52" s="191"/>
      <c r="F52" s="71"/>
      <c r="G52" s="191"/>
      <c r="H52" s="191"/>
      <c r="I52" s="71"/>
      <c r="J52" s="71"/>
      <c r="K52" s="71"/>
      <c r="L52" s="71"/>
      <c r="M52" s="71"/>
      <c r="N52" s="71"/>
      <c r="O52" s="191"/>
      <c r="P52" s="78"/>
      <c r="Q52" s="110"/>
      <c r="R52" s="110"/>
    </row>
    <row r="53" spans="2:18" x14ac:dyDescent="0.2">
      <c r="B53" s="76"/>
      <c r="C53" s="191"/>
      <c r="D53" s="199" t="s">
        <v>549</v>
      </c>
      <c r="E53" s="191"/>
      <c r="F53" s="71"/>
      <c r="G53" s="191"/>
      <c r="H53" s="66" t="str">
        <f>tab!D$2</f>
        <v>2014/15</v>
      </c>
      <c r="I53" s="66" t="str">
        <f>tab!E$2</f>
        <v>2015/16</v>
      </c>
      <c r="J53" s="66" t="str">
        <f>tab!F$2</f>
        <v>2016/17</v>
      </c>
      <c r="K53" s="66" t="str">
        <f>tab!G$2</f>
        <v>2017/18</v>
      </c>
      <c r="L53" s="66" t="str">
        <f>tab!H$2</f>
        <v>2018/19</v>
      </c>
      <c r="M53" s="66" t="str">
        <f>tab!I$2</f>
        <v>2019/20</v>
      </c>
      <c r="N53" s="66" t="str">
        <f>tab!J$2</f>
        <v>2020/21</v>
      </c>
      <c r="O53" s="191"/>
      <c r="P53" s="78"/>
      <c r="Q53" s="110"/>
      <c r="R53" s="110"/>
    </row>
    <row r="54" spans="2:18" x14ac:dyDescent="0.2">
      <c r="B54" s="76"/>
      <c r="C54" s="191"/>
      <c r="D54" s="598"/>
      <c r="E54" s="35"/>
      <c r="F54" s="43"/>
      <c r="G54" s="35"/>
      <c r="H54" s="537">
        <v>0</v>
      </c>
      <c r="I54" s="537">
        <f>H54</f>
        <v>0</v>
      </c>
      <c r="J54" s="537">
        <f t="shared" ref="J54:N54" si="16">I54</f>
        <v>0</v>
      </c>
      <c r="K54" s="537">
        <f t="shared" si="16"/>
        <v>0</v>
      </c>
      <c r="L54" s="537">
        <f t="shared" si="16"/>
        <v>0</v>
      </c>
      <c r="M54" s="537">
        <f t="shared" si="16"/>
        <v>0</v>
      </c>
      <c r="N54" s="537">
        <f t="shared" si="16"/>
        <v>0</v>
      </c>
      <c r="O54" s="191"/>
      <c r="P54" s="78"/>
      <c r="Q54" s="110"/>
      <c r="R54" s="110"/>
    </row>
    <row r="55" spans="2:18" x14ac:dyDescent="0.2">
      <c r="B55" s="76"/>
      <c r="C55" s="191"/>
      <c r="D55" s="590"/>
      <c r="E55" s="35"/>
      <c r="F55" s="43"/>
      <c r="G55" s="35"/>
      <c r="H55" s="537">
        <v>0</v>
      </c>
      <c r="I55" s="537">
        <f t="shared" ref="I55:N55" si="17">H55</f>
        <v>0</v>
      </c>
      <c r="J55" s="537">
        <f t="shared" si="17"/>
        <v>0</v>
      </c>
      <c r="K55" s="537">
        <f t="shared" si="17"/>
        <v>0</v>
      </c>
      <c r="L55" s="537">
        <f t="shared" si="17"/>
        <v>0</v>
      </c>
      <c r="M55" s="537">
        <f t="shared" si="17"/>
        <v>0</v>
      </c>
      <c r="N55" s="537">
        <f t="shared" si="17"/>
        <v>0</v>
      </c>
      <c r="O55" s="191"/>
      <c r="P55" s="78"/>
      <c r="Q55" s="110"/>
      <c r="R55" s="110"/>
    </row>
    <row r="56" spans="2:18" x14ac:dyDescent="0.2">
      <c r="B56" s="76"/>
      <c r="C56" s="191"/>
      <c r="D56" s="590"/>
      <c r="E56" s="35"/>
      <c r="F56" s="43"/>
      <c r="G56" s="35"/>
      <c r="H56" s="537">
        <v>0</v>
      </c>
      <c r="I56" s="537">
        <f t="shared" ref="I56:N56" si="18">H56</f>
        <v>0</v>
      </c>
      <c r="J56" s="537">
        <f t="shared" si="18"/>
        <v>0</v>
      </c>
      <c r="K56" s="537">
        <f t="shared" si="18"/>
        <v>0</v>
      </c>
      <c r="L56" s="537">
        <f t="shared" si="18"/>
        <v>0</v>
      </c>
      <c r="M56" s="537">
        <f t="shared" si="18"/>
        <v>0</v>
      </c>
      <c r="N56" s="537">
        <f t="shared" si="18"/>
        <v>0</v>
      </c>
      <c r="O56" s="191"/>
      <c r="P56" s="78"/>
      <c r="Q56" s="110"/>
      <c r="R56" s="110"/>
    </row>
    <row r="57" spans="2:18" x14ac:dyDescent="0.2">
      <c r="B57" s="76"/>
      <c r="C57" s="191"/>
      <c r="D57" s="590"/>
      <c r="E57" s="35"/>
      <c r="F57" s="43"/>
      <c r="G57" s="35"/>
      <c r="H57" s="537">
        <v>0</v>
      </c>
      <c r="I57" s="537">
        <f t="shared" ref="I57:N57" si="19">H57</f>
        <v>0</v>
      </c>
      <c r="J57" s="537">
        <f t="shared" si="19"/>
        <v>0</v>
      </c>
      <c r="K57" s="537">
        <f t="shared" si="19"/>
        <v>0</v>
      </c>
      <c r="L57" s="537">
        <f t="shared" si="19"/>
        <v>0</v>
      </c>
      <c r="M57" s="537">
        <f t="shared" si="19"/>
        <v>0</v>
      </c>
      <c r="N57" s="537">
        <f t="shared" si="19"/>
        <v>0</v>
      </c>
      <c r="O57" s="222"/>
      <c r="P57" s="78"/>
      <c r="Q57" s="110"/>
      <c r="R57" s="110"/>
    </row>
    <row r="58" spans="2:18" x14ac:dyDescent="0.2">
      <c r="B58" s="76"/>
      <c r="C58" s="191"/>
      <c r="D58" s="590"/>
      <c r="E58" s="35"/>
      <c r="F58" s="43"/>
      <c r="G58" s="35"/>
      <c r="H58" s="537">
        <v>0</v>
      </c>
      <c r="I58" s="537">
        <f t="shared" ref="I58:N58" si="20">H58</f>
        <v>0</v>
      </c>
      <c r="J58" s="537">
        <f t="shared" si="20"/>
        <v>0</v>
      </c>
      <c r="K58" s="537">
        <f t="shared" si="20"/>
        <v>0</v>
      </c>
      <c r="L58" s="537">
        <f t="shared" si="20"/>
        <v>0</v>
      </c>
      <c r="M58" s="537">
        <f t="shared" si="20"/>
        <v>0</v>
      </c>
      <c r="N58" s="537">
        <f t="shared" si="20"/>
        <v>0</v>
      </c>
      <c r="O58" s="222"/>
      <c r="P58" s="78"/>
      <c r="Q58" s="110"/>
      <c r="R58" s="110"/>
    </row>
    <row r="59" spans="2:18" x14ac:dyDescent="0.2">
      <c r="B59" s="76"/>
      <c r="C59" s="191"/>
      <c r="D59" s="35"/>
      <c r="E59" s="35"/>
      <c r="F59" s="186"/>
      <c r="G59" s="35"/>
      <c r="H59" s="546">
        <f t="shared" ref="H59:N59" si="21">SUM(H54:H58)</f>
        <v>0</v>
      </c>
      <c r="I59" s="546">
        <f t="shared" si="21"/>
        <v>0</v>
      </c>
      <c r="J59" s="546">
        <f t="shared" si="21"/>
        <v>0</v>
      </c>
      <c r="K59" s="546">
        <f t="shared" si="21"/>
        <v>0</v>
      </c>
      <c r="L59" s="546">
        <f t="shared" si="21"/>
        <v>0</v>
      </c>
      <c r="M59" s="546">
        <f t="shared" si="21"/>
        <v>0</v>
      </c>
      <c r="N59" s="546">
        <f t="shared" si="21"/>
        <v>0</v>
      </c>
      <c r="O59" s="191"/>
      <c r="P59" s="78"/>
      <c r="Q59" s="110"/>
      <c r="R59" s="110"/>
    </row>
    <row r="60" spans="2:18" x14ac:dyDescent="0.2">
      <c r="B60" s="76"/>
      <c r="C60" s="191"/>
      <c r="D60" s="35"/>
      <c r="E60" s="35"/>
      <c r="F60" s="186"/>
      <c r="G60" s="35"/>
      <c r="H60" s="1640"/>
      <c r="I60" s="1640"/>
      <c r="J60" s="1640"/>
      <c r="K60" s="1640"/>
      <c r="L60" s="1640"/>
      <c r="M60" s="1640"/>
      <c r="N60" s="1640"/>
      <c r="O60" s="191"/>
      <c r="P60" s="78"/>
      <c r="Q60" s="110"/>
      <c r="R60" s="110"/>
    </row>
    <row r="61" spans="2:18" x14ac:dyDescent="0.2">
      <c r="B61" s="76"/>
      <c r="C61" s="191"/>
      <c r="D61" s="199" t="s">
        <v>550</v>
      </c>
      <c r="E61" s="35"/>
      <c r="F61" s="186"/>
      <c r="G61" s="35"/>
      <c r="H61" s="1641">
        <f>tab!E$4</f>
        <v>2015</v>
      </c>
      <c r="I61" s="1641">
        <f>tab!F$4</f>
        <v>2016</v>
      </c>
      <c r="J61" s="1641">
        <f>tab!G$4</f>
        <v>2017</v>
      </c>
      <c r="K61" s="1641">
        <f>tab!H$4</f>
        <v>2018</v>
      </c>
      <c r="L61" s="1641">
        <f>tab!I$4</f>
        <v>2019</v>
      </c>
      <c r="M61" s="1641">
        <f>tab!J$4</f>
        <v>2020</v>
      </c>
      <c r="N61" s="1641">
        <f>tab!K$4</f>
        <v>2021</v>
      </c>
      <c r="O61" s="191"/>
      <c r="P61" s="78"/>
      <c r="Q61" s="110"/>
      <c r="R61" s="110"/>
    </row>
    <row r="62" spans="2:18" x14ac:dyDescent="0.2">
      <c r="B62" s="76"/>
      <c r="C62" s="191"/>
      <c r="D62" s="598"/>
      <c r="E62" s="35"/>
      <c r="F62" s="43"/>
      <c r="G62" s="35"/>
      <c r="H62" s="1665">
        <v>0</v>
      </c>
      <c r="I62" s="1665">
        <v>0</v>
      </c>
      <c r="J62" s="1665">
        <v>0</v>
      </c>
      <c r="K62" s="1665">
        <v>0</v>
      </c>
      <c r="L62" s="1665">
        <v>0</v>
      </c>
      <c r="M62" s="1665">
        <v>0</v>
      </c>
      <c r="N62" s="1665">
        <v>0</v>
      </c>
      <c r="O62" s="191"/>
      <c r="P62" s="78"/>
      <c r="Q62" s="110"/>
      <c r="R62" s="110"/>
    </row>
    <row r="63" spans="2:18" x14ac:dyDescent="0.2">
      <c r="B63" s="76"/>
      <c r="C63" s="191"/>
      <c r="D63" s="590"/>
      <c r="E63" s="35"/>
      <c r="F63" s="43"/>
      <c r="G63" s="35"/>
      <c r="H63" s="1665">
        <v>0</v>
      </c>
      <c r="I63" s="1665">
        <v>0</v>
      </c>
      <c r="J63" s="1665">
        <v>0</v>
      </c>
      <c r="K63" s="1665">
        <v>0</v>
      </c>
      <c r="L63" s="1665">
        <v>0</v>
      </c>
      <c r="M63" s="1665">
        <v>0</v>
      </c>
      <c r="N63" s="1665">
        <v>0</v>
      </c>
      <c r="O63" s="191"/>
      <c r="P63" s="78"/>
      <c r="Q63" s="110"/>
      <c r="R63" s="110"/>
    </row>
    <row r="64" spans="2:18" x14ac:dyDescent="0.2">
      <c r="B64" s="76"/>
      <c r="C64" s="191"/>
      <c r="D64" s="590"/>
      <c r="E64" s="35"/>
      <c r="F64" s="43"/>
      <c r="G64" s="35"/>
      <c r="H64" s="1665">
        <v>0</v>
      </c>
      <c r="I64" s="1665">
        <v>0</v>
      </c>
      <c r="J64" s="1665">
        <v>0</v>
      </c>
      <c r="K64" s="1665">
        <v>0</v>
      </c>
      <c r="L64" s="1665">
        <v>0</v>
      </c>
      <c r="M64" s="1665">
        <v>0</v>
      </c>
      <c r="N64" s="1665">
        <v>0</v>
      </c>
      <c r="O64" s="191"/>
      <c r="P64" s="78"/>
      <c r="Q64" s="110"/>
      <c r="R64" s="110"/>
    </row>
    <row r="65" spans="2:18" x14ac:dyDescent="0.2">
      <c r="B65" s="76"/>
      <c r="C65" s="191"/>
      <c r="D65" s="590"/>
      <c r="E65" s="35"/>
      <c r="F65" s="43"/>
      <c r="G65" s="35"/>
      <c r="H65" s="1665">
        <v>0</v>
      </c>
      <c r="I65" s="1665">
        <v>0</v>
      </c>
      <c r="J65" s="1665">
        <v>0</v>
      </c>
      <c r="K65" s="1665">
        <v>0</v>
      </c>
      <c r="L65" s="1665">
        <v>0</v>
      </c>
      <c r="M65" s="1665">
        <v>0</v>
      </c>
      <c r="N65" s="1665">
        <v>0</v>
      </c>
      <c r="O65" s="191"/>
      <c r="P65" s="78"/>
      <c r="Q65" s="110"/>
      <c r="R65" s="110"/>
    </row>
    <row r="66" spans="2:18" x14ac:dyDescent="0.2">
      <c r="B66" s="76"/>
      <c r="C66" s="191"/>
      <c r="D66" s="590"/>
      <c r="E66" s="35"/>
      <c r="F66" s="43"/>
      <c r="G66" s="35"/>
      <c r="H66" s="1665">
        <v>0</v>
      </c>
      <c r="I66" s="1665">
        <v>0</v>
      </c>
      <c r="J66" s="1665">
        <v>0</v>
      </c>
      <c r="K66" s="1665">
        <v>0</v>
      </c>
      <c r="L66" s="1665">
        <v>0</v>
      </c>
      <c r="M66" s="1665">
        <v>0</v>
      </c>
      <c r="N66" s="1665">
        <v>0</v>
      </c>
      <c r="O66" s="191"/>
      <c r="P66" s="78"/>
      <c r="Q66" s="110"/>
      <c r="R66" s="110"/>
    </row>
    <row r="67" spans="2:18" x14ac:dyDescent="0.2">
      <c r="B67" s="76"/>
      <c r="C67" s="191"/>
      <c r="D67" s="35"/>
      <c r="E67" s="35"/>
      <c r="F67" s="186"/>
      <c r="G67" s="35"/>
      <c r="H67" s="546">
        <f>SUM(H62:H66)</f>
        <v>0</v>
      </c>
      <c r="I67" s="546">
        <f t="shared" ref="I67" si="22">SUM(I62:I66)</f>
        <v>0</v>
      </c>
      <c r="J67" s="546">
        <f t="shared" ref="J67" si="23">SUM(J62:J66)</f>
        <v>0</v>
      </c>
      <c r="K67" s="546">
        <f t="shared" ref="K67" si="24">SUM(K62:K66)</f>
        <v>0</v>
      </c>
      <c r="L67" s="546">
        <f t="shared" ref="L67" si="25">SUM(L62:L66)</f>
        <v>0</v>
      </c>
      <c r="M67" s="546">
        <f t="shared" ref="M67" si="26">SUM(M62:M66)</f>
        <v>0</v>
      </c>
      <c r="N67" s="546">
        <f t="shared" ref="N67" si="27">SUM(N62:N66)</f>
        <v>0</v>
      </c>
      <c r="O67" s="191"/>
      <c r="P67" s="78"/>
      <c r="Q67" s="110"/>
      <c r="R67" s="110"/>
    </row>
    <row r="68" spans="2:18" x14ac:dyDescent="0.2">
      <c r="B68" s="76"/>
      <c r="C68" s="82"/>
      <c r="D68" s="40"/>
      <c r="E68" s="40"/>
      <c r="F68" s="41"/>
      <c r="G68" s="40"/>
      <c r="H68" s="1642"/>
      <c r="I68" s="1642"/>
      <c r="J68" s="1642"/>
      <c r="K68" s="1642"/>
      <c r="L68" s="1642"/>
      <c r="M68" s="1642"/>
      <c r="N68" s="1642"/>
      <c r="O68" s="82"/>
      <c r="P68" s="78"/>
      <c r="Q68" s="110"/>
      <c r="R68" s="110"/>
    </row>
    <row r="69" spans="2:18" x14ac:dyDescent="0.2">
      <c r="B69" s="76"/>
      <c r="C69" s="1646"/>
      <c r="D69" s="1643"/>
      <c r="E69" s="1643"/>
      <c r="F69" s="1644"/>
      <c r="G69" s="1643"/>
      <c r="H69" s="1645"/>
      <c r="I69" s="1645"/>
      <c r="J69" s="1645"/>
      <c r="K69" s="1645"/>
      <c r="L69" s="1645"/>
      <c r="M69" s="1645"/>
      <c r="N69" s="1645"/>
      <c r="O69" s="1647"/>
      <c r="P69" s="78"/>
      <c r="Q69" s="110"/>
      <c r="R69" s="110"/>
    </row>
    <row r="70" spans="2:18" x14ac:dyDescent="0.2">
      <c r="B70" s="76"/>
      <c r="C70" s="191"/>
      <c r="D70" s="199"/>
      <c r="E70" s="191"/>
      <c r="F70" s="71"/>
      <c r="G70" s="191"/>
      <c r="H70" s="191"/>
      <c r="I70" s="71"/>
      <c r="J70" s="71"/>
      <c r="K70" s="71"/>
      <c r="L70" s="71"/>
      <c r="M70" s="71"/>
      <c r="N70" s="71"/>
      <c r="O70" s="191"/>
      <c r="P70" s="78"/>
      <c r="Q70" s="110"/>
      <c r="R70" s="110"/>
    </row>
    <row r="71" spans="2:18" x14ac:dyDescent="0.2">
      <c r="B71" s="76"/>
      <c r="C71" s="191"/>
      <c r="D71" s="1639" t="str">
        <f>pers!D198</f>
        <v>project 4</v>
      </c>
      <c r="E71" s="191"/>
      <c r="F71" s="71"/>
      <c r="G71" s="191"/>
      <c r="H71" s="191"/>
      <c r="I71" s="71"/>
      <c r="J71" s="71"/>
      <c r="K71" s="71"/>
      <c r="L71" s="71"/>
      <c r="M71" s="71"/>
      <c r="N71" s="71"/>
      <c r="O71" s="191"/>
      <c r="P71" s="78"/>
      <c r="Q71" s="110"/>
      <c r="R71" s="110"/>
    </row>
    <row r="72" spans="2:18" x14ac:dyDescent="0.2">
      <c r="B72" s="76"/>
      <c r="C72" s="191"/>
      <c r="D72" s="189"/>
      <c r="E72" s="191"/>
      <c r="F72" s="71"/>
      <c r="G72" s="191"/>
      <c r="H72" s="191"/>
      <c r="I72" s="71"/>
      <c r="J72" s="71"/>
      <c r="K72" s="71"/>
      <c r="L72" s="71"/>
      <c r="M72" s="71"/>
      <c r="N72" s="71"/>
      <c r="O72" s="191"/>
      <c r="P72" s="78"/>
      <c r="Q72" s="110"/>
      <c r="R72" s="110"/>
    </row>
    <row r="73" spans="2:18" x14ac:dyDescent="0.2">
      <c r="B73" s="76"/>
      <c r="C73" s="191"/>
      <c r="D73" s="199" t="s">
        <v>549</v>
      </c>
      <c r="E73" s="191"/>
      <c r="F73" s="71"/>
      <c r="G73" s="191"/>
      <c r="H73" s="66" t="str">
        <f>tab!D$2</f>
        <v>2014/15</v>
      </c>
      <c r="I73" s="66" t="str">
        <f>tab!E$2</f>
        <v>2015/16</v>
      </c>
      <c r="J73" s="66" t="str">
        <f>tab!F$2</f>
        <v>2016/17</v>
      </c>
      <c r="K73" s="66" t="str">
        <f>tab!G$2</f>
        <v>2017/18</v>
      </c>
      <c r="L73" s="66" t="str">
        <f>tab!H$2</f>
        <v>2018/19</v>
      </c>
      <c r="M73" s="66" t="str">
        <f>tab!I$2</f>
        <v>2019/20</v>
      </c>
      <c r="N73" s="66" t="str">
        <f>tab!J$2</f>
        <v>2020/21</v>
      </c>
      <c r="O73" s="191"/>
      <c r="P73" s="78"/>
      <c r="Q73" s="110"/>
      <c r="R73" s="110"/>
    </row>
    <row r="74" spans="2:18" x14ac:dyDescent="0.2">
      <c r="B74" s="76"/>
      <c r="C74" s="191"/>
      <c r="D74" s="598"/>
      <c r="E74" s="35"/>
      <c r="F74" s="43"/>
      <c r="G74" s="35"/>
      <c r="H74" s="537">
        <v>0</v>
      </c>
      <c r="I74" s="537">
        <f>H74</f>
        <v>0</v>
      </c>
      <c r="J74" s="537">
        <f t="shared" ref="J74:N74" si="28">I74</f>
        <v>0</v>
      </c>
      <c r="K74" s="537">
        <f t="shared" si="28"/>
        <v>0</v>
      </c>
      <c r="L74" s="537">
        <f t="shared" si="28"/>
        <v>0</v>
      </c>
      <c r="M74" s="537">
        <f t="shared" si="28"/>
        <v>0</v>
      </c>
      <c r="N74" s="537">
        <f t="shared" si="28"/>
        <v>0</v>
      </c>
      <c r="O74" s="191"/>
      <c r="P74" s="78"/>
      <c r="Q74" s="110"/>
      <c r="R74" s="110"/>
    </row>
    <row r="75" spans="2:18" x14ac:dyDescent="0.2">
      <c r="B75" s="76"/>
      <c r="C75" s="191"/>
      <c r="D75" s="590"/>
      <c r="E75" s="35"/>
      <c r="F75" s="43"/>
      <c r="G75" s="35"/>
      <c r="H75" s="537">
        <v>0</v>
      </c>
      <c r="I75" s="537">
        <f t="shared" ref="I75:N75" si="29">H75</f>
        <v>0</v>
      </c>
      <c r="J75" s="537">
        <f t="shared" si="29"/>
        <v>0</v>
      </c>
      <c r="K75" s="537">
        <f t="shared" si="29"/>
        <v>0</v>
      </c>
      <c r="L75" s="537">
        <f t="shared" si="29"/>
        <v>0</v>
      </c>
      <c r="M75" s="537">
        <f t="shared" si="29"/>
        <v>0</v>
      </c>
      <c r="N75" s="537">
        <f t="shared" si="29"/>
        <v>0</v>
      </c>
      <c r="O75" s="191"/>
      <c r="P75" s="78"/>
      <c r="Q75" s="110"/>
      <c r="R75" s="110"/>
    </row>
    <row r="76" spans="2:18" x14ac:dyDescent="0.2">
      <c r="B76" s="76"/>
      <c r="C76" s="191"/>
      <c r="D76" s="590"/>
      <c r="E76" s="35"/>
      <c r="F76" s="43"/>
      <c r="G76" s="35"/>
      <c r="H76" s="537">
        <v>0</v>
      </c>
      <c r="I76" s="537">
        <f t="shared" ref="I76:N76" si="30">H76</f>
        <v>0</v>
      </c>
      <c r="J76" s="537">
        <f t="shared" si="30"/>
        <v>0</v>
      </c>
      <c r="K76" s="537">
        <f t="shared" si="30"/>
        <v>0</v>
      </c>
      <c r="L76" s="537">
        <f t="shared" si="30"/>
        <v>0</v>
      </c>
      <c r="M76" s="537">
        <f t="shared" si="30"/>
        <v>0</v>
      </c>
      <c r="N76" s="537">
        <f t="shared" si="30"/>
        <v>0</v>
      </c>
      <c r="O76" s="191"/>
      <c r="P76" s="78"/>
      <c r="Q76" s="110"/>
      <c r="R76" s="110"/>
    </row>
    <row r="77" spans="2:18" x14ac:dyDescent="0.2">
      <c r="B77" s="76"/>
      <c r="C77" s="191"/>
      <c r="D77" s="590"/>
      <c r="E77" s="35"/>
      <c r="F77" s="43"/>
      <c r="G77" s="35"/>
      <c r="H77" s="537">
        <v>0</v>
      </c>
      <c r="I77" s="537">
        <f t="shared" ref="I77:N77" si="31">H77</f>
        <v>0</v>
      </c>
      <c r="J77" s="537">
        <f t="shared" si="31"/>
        <v>0</v>
      </c>
      <c r="K77" s="537">
        <f t="shared" si="31"/>
        <v>0</v>
      </c>
      <c r="L77" s="537">
        <f t="shared" si="31"/>
        <v>0</v>
      </c>
      <c r="M77" s="537">
        <f t="shared" si="31"/>
        <v>0</v>
      </c>
      <c r="N77" s="537">
        <f t="shared" si="31"/>
        <v>0</v>
      </c>
      <c r="O77" s="222"/>
      <c r="P77" s="78"/>
      <c r="Q77" s="110"/>
      <c r="R77" s="110"/>
    </row>
    <row r="78" spans="2:18" x14ac:dyDescent="0.2">
      <c r="B78" s="76"/>
      <c r="C78" s="191"/>
      <c r="D78" s="590"/>
      <c r="E78" s="35"/>
      <c r="F78" s="43"/>
      <c r="G78" s="35"/>
      <c r="H78" s="537">
        <v>0</v>
      </c>
      <c r="I78" s="537">
        <f t="shared" ref="I78:N78" si="32">H78</f>
        <v>0</v>
      </c>
      <c r="J78" s="537">
        <f t="shared" si="32"/>
        <v>0</v>
      </c>
      <c r="K78" s="537">
        <f t="shared" si="32"/>
        <v>0</v>
      </c>
      <c r="L78" s="537">
        <f t="shared" si="32"/>
        <v>0</v>
      </c>
      <c r="M78" s="537">
        <f t="shared" si="32"/>
        <v>0</v>
      </c>
      <c r="N78" s="537">
        <f t="shared" si="32"/>
        <v>0</v>
      </c>
      <c r="O78" s="222"/>
      <c r="P78" s="78"/>
      <c r="Q78" s="110"/>
      <c r="R78" s="110"/>
    </row>
    <row r="79" spans="2:18" x14ac:dyDescent="0.2">
      <c r="B79" s="76"/>
      <c r="C79" s="191"/>
      <c r="D79" s="35"/>
      <c r="E79" s="35"/>
      <c r="F79" s="186"/>
      <c r="G79" s="35"/>
      <c r="H79" s="546">
        <f t="shared" ref="H79:N79" si="33">SUM(H74:H78)</f>
        <v>0</v>
      </c>
      <c r="I79" s="546">
        <f t="shared" si="33"/>
        <v>0</v>
      </c>
      <c r="J79" s="546">
        <f t="shared" si="33"/>
        <v>0</v>
      </c>
      <c r="K79" s="546">
        <f t="shared" si="33"/>
        <v>0</v>
      </c>
      <c r="L79" s="546">
        <f t="shared" si="33"/>
        <v>0</v>
      </c>
      <c r="M79" s="546">
        <f t="shared" si="33"/>
        <v>0</v>
      </c>
      <c r="N79" s="546">
        <f t="shared" si="33"/>
        <v>0</v>
      </c>
      <c r="O79" s="191"/>
      <c r="P79" s="78"/>
      <c r="Q79" s="110"/>
      <c r="R79" s="110"/>
    </row>
    <row r="80" spans="2:18" x14ac:dyDescent="0.2">
      <c r="B80" s="76"/>
      <c r="C80" s="191"/>
      <c r="D80" s="35"/>
      <c r="E80" s="35"/>
      <c r="F80" s="186"/>
      <c r="G80" s="35"/>
      <c r="H80" s="1640"/>
      <c r="I80" s="1640"/>
      <c r="J80" s="1640"/>
      <c r="K80" s="1640"/>
      <c r="L80" s="1640"/>
      <c r="M80" s="1640"/>
      <c r="N80" s="1640"/>
      <c r="O80" s="191"/>
      <c r="P80" s="78"/>
      <c r="Q80" s="110"/>
      <c r="R80" s="110"/>
    </row>
    <row r="81" spans="2:18" x14ac:dyDescent="0.2">
      <c r="B81" s="76"/>
      <c r="C81" s="191"/>
      <c r="D81" s="199" t="s">
        <v>550</v>
      </c>
      <c r="E81" s="35"/>
      <c r="F81" s="186"/>
      <c r="G81" s="35"/>
      <c r="H81" s="1641">
        <f>tab!E$4</f>
        <v>2015</v>
      </c>
      <c r="I81" s="1641">
        <f>tab!F$4</f>
        <v>2016</v>
      </c>
      <c r="J81" s="1641">
        <f>tab!G$4</f>
        <v>2017</v>
      </c>
      <c r="K81" s="1641">
        <f>tab!H$4</f>
        <v>2018</v>
      </c>
      <c r="L81" s="1641">
        <f>tab!I$4</f>
        <v>2019</v>
      </c>
      <c r="M81" s="1641">
        <f>tab!J$4</f>
        <v>2020</v>
      </c>
      <c r="N81" s="1641">
        <f>tab!K$4</f>
        <v>2021</v>
      </c>
      <c r="O81" s="191"/>
      <c r="P81" s="78"/>
      <c r="Q81" s="110"/>
      <c r="R81" s="110"/>
    </row>
    <row r="82" spans="2:18" x14ac:dyDescent="0.2">
      <c r="B82" s="76"/>
      <c r="C82" s="191"/>
      <c r="D82" s="598"/>
      <c r="E82" s="35"/>
      <c r="F82" s="43"/>
      <c r="G82" s="35"/>
      <c r="H82" s="1665">
        <v>0</v>
      </c>
      <c r="I82" s="1665">
        <v>0</v>
      </c>
      <c r="J82" s="1665">
        <v>0</v>
      </c>
      <c r="K82" s="1665">
        <v>0</v>
      </c>
      <c r="L82" s="1665">
        <v>0</v>
      </c>
      <c r="M82" s="1665">
        <v>0</v>
      </c>
      <c r="N82" s="1665">
        <v>0</v>
      </c>
      <c r="O82" s="191"/>
      <c r="P82" s="78"/>
      <c r="Q82" s="110"/>
      <c r="R82" s="110"/>
    </row>
    <row r="83" spans="2:18" x14ac:dyDescent="0.2">
      <c r="B83" s="76"/>
      <c r="C83" s="191"/>
      <c r="D83" s="590"/>
      <c r="E83" s="35"/>
      <c r="F83" s="43"/>
      <c r="G83" s="35"/>
      <c r="H83" s="1665">
        <v>0</v>
      </c>
      <c r="I83" s="1665">
        <v>0</v>
      </c>
      <c r="J83" s="1665">
        <v>0</v>
      </c>
      <c r="K83" s="1665">
        <v>0</v>
      </c>
      <c r="L83" s="1665">
        <v>0</v>
      </c>
      <c r="M83" s="1665">
        <v>0</v>
      </c>
      <c r="N83" s="1665">
        <v>0</v>
      </c>
      <c r="O83" s="191"/>
      <c r="P83" s="78"/>
      <c r="Q83" s="110"/>
      <c r="R83" s="110"/>
    </row>
    <row r="84" spans="2:18" x14ac:dyDescent="0.2">
      <c r="B84" s="76"/>
      <c r="C84" s="191"/>
      <c r="D84" s="590"/>
      <c r="E84" s="35"/>
      <c r="F84" s="43"/>
      <c r="G84" s="35"/>
      <c r="H84" s="1665">
        <v>0</v>
      </c>
      <c r="I84" s="1665">
        <v>0</v>
      </c>
      <c r="J84" s="1665">
        <v>0</v>
      </c>
      <c r="K84" s="1665">
        <v>0</v>
      </c>
      <c r="L84" s="1665">
        <v>0</v>
      </c>
      <c r="M84" s="1665">
        <v>0</v>
      </c>
      <c r="N84" s="1665">
        <v>0</v>
      </c>
      <c r="O84" s="191"/>
      <c r="P84" s="78"/>
      <c r="Q84" s="110"/>
      <c r="R84" s="110"/>
    </row>
    <row r="85" spans="2:18" x14ac:dyDescent="0.2">
      <c r="B85" s="76"/>
      <c r="C85" s="191"/>
      <c r="D85" s="590"/>
      <c r="E85" s="35"/>
      <c r="F85" s="43"/>
      <c r="G85" s="35"/>
      <c r="H85" s="1665">
        <v>0</v>
      </c>
      <c r="I85" s="1665">
        <v>0</v>
      </c>
      <c r="J85" s="1665">
        <v>0</v>
      </c>
      <c r="K85" s="1665">
        <v>0</v>
      </c>
      <c r="L85" s="1665">
        <v>0</v>
      </c>
      <c r="M85" s="1665">
        <v>0</v>
      </c>
      <c r="N85" s="1665">
        <v>0</v>
      </c>
      <c r="O85" s="191"/>
      <c r="P85" s="78"/>
      <c r="Q85" s="110"/>
      <c r="R85" s="110"/>
    </row>
    <row r="86" spans="2:18" x14ac:dyDescent="0.2">
      <c r="B86" s="76"/>
      <c r="C86" s="191"/>
      <c r="D86" s="590"/>
      <c r="E86" s="35"/>
      <c r="F86" s="43"/>
      <c r="G86" s="35"/>
      <c r="H86" s="1665">
        <v>0</v>
      </c>
      <c r="I86" s="1665">
        <v>0</v>
      </c>
      <c r="J86" s="1665">
        <v>0</v>
      </c>
      <c r="K86" s="1665">
        <v>0</v>
      </c>
      <c r="L86" s="1665">
        <v>0</v>
      </c>
      <c r="M86" s="1665">
        <v>0</v>
      </c>
      <c r="N86" s="1665">
        <v>0</v>
      </c>
      <c r="O86" s="191"/>
      <c r="P86" s="78"/>
      <c r="Q86" s="110"/>
      <c r="R86" s="110"/>
    </row>
    <row r="87" spans="2:18" x14ac:dyDescent="0.2">
      <c r="B87" s="76"/>
      <c r="C87" s="191"/>
      <c r="D87" s="35"/>
      <c r="E87" s="35"/>
      <c r="F87" s="186"/>
      <c r="G87" s="35"/>
      <c r="H87" s="546">
        <f>SUM(H82:H86)</f>
        <v>0</v>
      </c>
      <c r="I87" s="546">
        <f t="shared" ref="I87" si="34">SUM(I82:I86)</f>
        <v>0</v>
      </c>
      <c r="J87" s="546">
        <f t="shared" ref="J87" si="35">SUM(J82:J86)</f>
        <v>0</v>
      </c>
      <c r="K87" s="546">
        <f t="shared" ref="K87" si="36">SUM(K82:K86)</f>
        <v>0</v>
      </c>
      <c r="L87" s="546">
        <f t="shared" ref="L87" si="37">SUM(L82:L86)</f>
        <v>0</v>
      </c>
      <c r="M87" s="546">
        <f t="shared" ref="M87" si="38">SUM(M82:M86)</f>
        <v>0</v>
      </c>
      <c r="N87" s="546">
        <f t="shared" ref="N87" si="39">SUM(N82:N86)</f>
        <v>0</v>
      </c>
      <c r="O87" s="191"/>
      <c r="P87" s="78"/>
      <c r="Q87" s="110"/>
      <c r="R87" s="110"/>
    </row>
    <row r="88" spans="2:18" x14ac:dyDescent="0.2">
      <c r="B88" s="76"/>
      <c r="C88" s="82"/>
      <c r="D88" s="40"/>
      <c r="E88" s="40"/>
      <c r="F88" s="41"/>
      <c r="G88" s="40"/>
      <c r="H88" s="1642"/>
      <c r="I88" s="1642"/>
      <c r="J88" s="1642"/>
      <c r="K88" s="1642"/>
      <c r="L88" s="1642"/>
      <c r="M88" s="1642"/>
      <c r="N88" s="1642"/>
      <c r="O88" s="82"/>
      <c r="P88" s="78"/>
      <c r="Q88" s="110"/>
      <c r="R88" s="110"/>
    </row>
    <row r="89" spans="2:18" x14ac:dyDescent="0.2">
      <c r="B89" s="76"/>
      <c r="C89" s="1646"/>
      <c r="D89" s="1643"/>
      <c r="E89" s="1643"/>
      <c r="F89" s="1644"/>
      <c r="G89" s="1643"/>
      <c r="H89" s="1645"/>
      <c r="I89" s="1645"/>
      <c r="J89" s="1645"/>
      <c r="K89" s="1645"/>
      <c r="L89" s="1645"/>
      <c r="M89" s="1645"/>
      <c r="N89" s="1645"/>
      <c r="O89" s="1647"/>
      <c r="P89" s="78"/>
      <c r="Q89" s="110"/>
      <c r="R89" s="110"/>
    </row>
    <row r="90" spans="2:18" x14ac:dyDescent="0.2">
      <c r="B90" s="76"/>
      <c r="C90" s="191"/>
      <c r="D90" s="199"/>
      <c r="E90" s="191"/>
      <c r="F90" s="71"/>
      <c r="G90" s="191"/>
      <c r="H90" s="191"/>
      <c r="I90" s="71"/>
      <c r="J90" s="71"/>
      <c r="K90" s="71"/>
      <c r="L90" s="71"/>
      <c r="M90" s="71"/>
      <c r="N90" s="71"/>
      <c r="O90" s="191"/>
      <c r="P90" s="78"/>
      <c r="Q90" s="110"/>
      <c r="R90" s="110"/>
    </row>
    <row r="91" spans="2:18" x14ac:dyDescent="0.2">
      <c r="B91" s="76"/>
      <c r="C91" s="191"/>
      <c r="D91" s="1639" t="str">
        <f>pers!D199</f>
        <v>project 5</v>
      </c>
      <c r="E91" s="191"/>
      <c r="F91" s="71"/>
      <c r="G91" s="191"/>
      <c r="H91" s="191"/>
      <c r="I91" s="71"/>
      <c r="J91" s="71"/>
      <c r="K91" s="71"/>
      <c r="L91" s="71"/>
      <c r="M91" s="71"/>
      <c r="N91" s="71"/>
      <c r="O91" s="191"/>
      <c r="P91" s="78"/>
      <c r="Q91" s="110"/>
      <c r="R91" s="110"/>
    </row>
    <row r="92" spans="2:18" x14ac:dyDescent="0.2">
      <c r="B92" s="76"/>
      <c r="C92" s="191"/>
      <c r="D92" s="189"/>
      <c r="E92" s="191"/>
      <c r="F92" s="71"/>
      <c r="G92" s="191"/>
      <c r="H92" s="191"/>
      <c r="I92" s="71"/>
      <c r="J92" s="71"/>
      <c r="K92" s="71"/>
      <c r="L92" s="71"/>
      <c r="M92" s="71"/>
      <c r="N92" s="71"/>
      <c r="O92" s="191"/>
      <c r="P92" s="78"/>
      <c r="Q92" s="110"/>
      <c r="R92" s="110"/>
    </row>
    <row r="93" spans="2:18" x14ac:dyDescent="0.2">
      <c r="B93" s="76"/>
      <c r="C93" s="191"/>
      <c r="D93" s="199" t="s">
        <v>549</v>
      </c>
      <c r="E93" s="191"/>
      <c r="F93" s="71"/>
      <c r="G93" s="191"/>
      <c r="H93" s="66" t="str">
        <f>tab!D$2</f>
        <v>2014/15</v>
      </c>
      <c r="I93" s="66" t="str">
        <f>tab!E$2</f>
        <v>2015/16</v>
      </c>
      <c r="J93" s="66" t="str">
        <f>tab!F$2</f>
        <v>2016/17</v>
      </c>
      <c r="K93" s="66" t="str">
        <f>tab!G$2</f>
        <v>2017/18</v>
      </c>
      <c r="L93" s="66" t="str">
        <f>tab!H$2</f>
        <v>2018/19</v>
      </c>
      <c r="M93" s="66" t="str">
        <f>tab!I$2</f>
        <v>2019/20</v>
      </c>
      <c r="N93" s="66" t="str">
        <f>tab!J$2</f>
        <v>2020/21</v>
      </c>
      <c r="O93" s="191"/>
      <c r="P93" s="78"/>
      <c r="Q93" s="110"/>
      <c r="R93" s="110"/>
    </row>
    <row r="94" spans="2:18" x14ac:dyDescent="0.2">
      <c r="B94" s="76"/>
      <c r="C94" s="191"/>
      <c r="D94" s="598"/>
      <c r="E94" s="35"/>
      <c r="F94" s="43"/>
      <c r="G94" s="35"/>
      <c r="H94" s="537">
        <v>0</v>
      </c>
      <c r="I94" s="537">
        <f>H94</f>
        <v>0</v>
      </c>
      <c r="J94" s="537">
        <f t="shared" ref="J94:N94" si="40">I94</f>
        <v>0</v>
      </c>
      <c r="K94" s="537">
        <f t="shared" si="40"/>
        <v>0</v>
      </c>
      <c r="L94" s="537">
        <f t="shared" si="40"/>
        <v>0</v>
      </c>
      <c r="M94" s="537">
        <f t="shared" si="40"/>
        <v>0</v>
      </c>
      <c r="N94" s="537">
        <f t="shared" si="40"/>
        <v>0</v>
      </c>
      <c r="O94" s="191"/>
      <c r="P94" s="78"/>
      <c r="Q94" s="110"/>
      <c r="R94" s="110"/>
    </row>
    <row r="95" spans="2:18" x14ac:dyDescent="0.2">
      <c r="B95" s="76"/>
      <c r="C95" s="191"/>
      <c r="D95" s="590"/>
      <c r="E95" s="35"/>
      <c r="F95" s="43"/>
      <c r="G95" s="35"/>
      <c r="H95" s="537">
        <v>0</v>
      </c>
      <c r="I95" s="537">
        <f t="shared" ref="I95:N95" si="41">H95</f>
        <v>0</v>
      </c>
      <c r="J95" s="537">
        <f t="shared" si="41"/>
        <v>0</v>
      </c>
      <c r="K95" s="537">
        <f t="shared" si="41"/>
        <v>0</v>
      </c>
      <c r="L95" s="537">
        <f t="shared" si="41"/>
        <v>0</v>
      </c>
      <c r="M95" s="537">
        <f t="shared" si="41"/>
        <v>0</v>
      </c>
      <c r="N95" s="537">
        <f t="shared" si="41"/>
        <v>0</v>
      </c>
      <c r="O95" s="191"/>
      <c r="P95" s="78"/>
      <c r="Q95" s="110"/>
      <c r="R95" s="110"/>
    </row>
    <row r="96" spans="2:18" x14ac:dyDescent="0.2">
      <c r="B96" s="76"/>
      <c r="C96" s="191"/>
      <c r="D96" s="590"/>
      <c r="E96" s="35"/>
      <c r="F96" s="43"/>
      <c r="G96" s="35"/>
      <c r="H96" s="537">
        <v>0</v>
      </c>
      <c r="I96" s="537">
        <f t="shared" ref="I96:N96" si="42">H96</f>
        <v>0</v>
      </c>
      <c r="J96" s="537">
        <f t="shared" si="42"/>
        <v>0</v>
      </c>
      <c r="K96" s="537">
        <f t="shared" si="42"/>
        <v>0</v>
      </c>
      <c r="L96" s="537">
        <f t="shared" si="42"/>
        <v>0</v>
      </c>
      <c r="M96" s="537">
        <f t="shared" si="42"/>
        <v>0</v>
      </c>
      <c r="N96" s="537">
        <f t="shared" si="42"/>
        <v>0</v>
      </c>
      <c r="O96" s="191"/>
      <c r="P96" s="78"/>
      <c r="Q96" s="110"/>
      <c r="R96" s="110"/>
    </row>
    <row r="97" spans="2:18" x14ac:dyDescent="0.2">
      <c r="B97" s="76"/>
      <c r="C97" s="191"/>
      <c r="D97" s="590"/>
      <c r="E97" s="35"/>
      <c r="F97" s="43"/>
      <c r="G97" s="35"/>
      <c r="H97" s="537">
        <v>0</v>
      </c>
      <c r="I97" s="537">
        <f t="shared" ref="I97:N97" si="43">H97</f>
        <v>0</v>
      </c>
      <c r="J97" s="537">
        <f t="shared" si="43"/>
        <v>0</v>
      </c>
      <c r="K97" s="537">
        <f t="shared" si="43"/>
        <v>0</v>
      </c>
      <c r="L97" s="537">
        <f t="shared" si="43"/>
        <v>0</v>
      </c>
      <c r="M97" s="537">
        <f t="shared" si="43"/>
        <v>0</v>
      </c>
      <c r="N97" s="537">
        <f t="shared" si="43"/>
        <v>0</v>
      </c>
      <c r="O97" s="222"/>
      <c r="P97" s="78"/>
      <c r="Q97" s="110"/>
      <c r="R97" s="110"/>
    </row>
    <row r="98" spans="2:18" x14ac:dyDescent="0.2">
      <c r="B98" s="76"/>
      <c r="C98" s="191"/>
      <c r="D98" s="590"/>
      <c r="E98" s="35"/>
      <c r="F98" s="43"/>
      <c r="G98" s="35"/>
      <c r="H98" s="537">
        <v>0</v>
      </c>
      <c r="I98" s="537">
        <f t="shared" ref="I98:N98" si="44">H98</f>
        <v>0</v>
      </c>
      <c r="J98" s="537">
        <f t="shared" si="44"/>
        <v>0</v>
      </c>
      <c r="K98" s="537">
        <f t="shared" si="44"/>
        <v>0</v>
      </c>
      <c r="L98" s="537">
        <f t="shared" si="44"/>
        <v>0</v>
      </c>
      <c r="M98" s="537">
        <f t="shared" si="44"/>
        <v>0</v>
      </c>
      <c r="N98" s="537">
        <f t="shared" si="44"/>
        <v>0</v>
      </c>
      <c r="O98" s="222"/>
      <c r="P98" s="78"/>
      <c r="Q98" s="110"/>
      <c r="R98" s="110"/>
    </row>
    <row r="99" spans="2:18" x14ac:dyDescent="0.2">
      <c r="B99" s="1656"/>
      <c r="C99" s="191"/>
      <c r="D99" s="35"/>
      <c r="E99" s="35"/>
      <c r="F99" s="186"/>
      <c r="G99" s="35"/>
      <c r="H99" s="546">
        <f t="shared" ref="H99:N99" si="45">SUM(H94:H98)</f>
        <v>0</v>
      </c>
      <c r="I99" s="546">
        <f t="shared" si="45"/>
        <v>0</v>
      </c>
      <c r="J99" s="546">
        <f t="shared" si="45"/>
        <v>0</v>
      </c>
      <c r="K99" s="546">
        <f t="shared" si="45"/>
        <v>0</v>
      </c>
      <c r="L99" s="546">
        <f t="shared" si="45"/>
        <v>0</v>
      </c>
      <c r="M99" s="546">
        <f t="shared" si="45"/>
        <v>0</v>
      </c>
      <c r="N99" s="546">
        <f t="shared" si="45"/>
        <v>0</v>
      </c>
      <c r="O99" s="191"/>
      <c r="P99" s="1657"/>
      <c r="Q99" s="110"/>
      <c r="R99" s="110"/>
    </row>
    <row r="100" spans="2:18" x14ac:dyDescent="0.2">
      <c r="B100" s="1656"/>
      <c r="C100" s="191"/>
      <c r="D100" s="35"/>
      <c r="E100" s="35"/>
      <c r="F100" s="186"/>
      <c r="G100" s="35"/>
      <c r="H100" s="1640"/>
      <c r="I100" s="1640"/>
      <c r="J100" s="1640"/>
      <c r="K100" s="1640"/>
      <c r="L100" s="1640"/>
      <c r="M100" s="1640"/>
      <c r="N100" s="1640"/>
      <c r="O100" s="191"/>
      <c r="P100" s="1657"/>
      <c r="Q100" s="110"/>
      <c r="R100" s="110"/>
    </row>
    <row r="101" spans="2:18" x14ac:dyDescent="0.2">
      <c r="B101" s="76"/>
      <c r="C101" s="191"/>
      <c r="D101" s="199" t="s">
        <v>550</v>
      </c>
      <c r="E101" s="35"/>
      <c r="F101" s="186"/>
      <c r="G101" s="35"/>
      <c r="H101" s="1641">
        <f>tab!E$4</f>
        <v>2015</v>
      </c>
      <c r="I101" s="1641">
        <f>tab!F$4</f>
        <v>2016</v>
      </c>
      <c r="J101" s="1641">
        <f>tab!G$4</f>
        <v>2017</v>
      </c>
      <c r="K101" s="1641">
        <f>tab!H$4</f>
        <v>2018</v>
      </c>
      <c r="L101" s="1641">
        <f>tab!I$4</f>
        <v>2019</v>
      </c>
      <c r="M101" s="1641">
        <f>tab!J$4</f>
        <v>2020</v>
      </c>
      <c r="N101" s="1641">
        <f>tab!K$4</f>
        <v>2021</v>
      </c>
      <c r="O101" s="191"/>
      <c r="P101" s="78"/>
      <c r="Q101" s="110"/>
      <c r="R101" s="110"/>
    </row>
    <row r="102" spans="2:18" x14ac:dyDescent="0.2">
      <c r="B102" s="76"/>
      <c r="C102" s="191"/>
      <c r="D102" s="598"/>
      <c r="E102" s="35"/>
      <c r="F102" s="43"/>
      <c r="G102" s="35"/>
      <c r="H102" s="1665">
        <v>0</v>
      </c>
      <c r="I102" s="1665">
        <v>0</v>
      </c>
      <c r="J102" s="1665">
        <v>0</v>
      </c>
      <c r="K102" s="1665">
        <v>0</v>
      </c>
      <c r="L102" s="1665">
        <v>0</v>
      </c>
      <c r="M102" s="1665">
        <v>0</v>
      </c>
      <c r="N102" s="1665">
        <v>0</v>
      </c>
      <c r="O102" s="191"/>
      <c r="P102" s="78"/>
      <c r="Q102" s="110"/>
      <c r="R102" s="110"/>
    </row>
    <row r="103" spans="2:18" x14ac:dyDescent="0.2">
      <c r="B103" s="76"/>
      <c r="C103" s="191"/>
      <c r="D103" s="590"/>
      <c r="E103" s="35"/>
      <c r="F103" s="43"/>
      <c r="G103" s="35"/>
      <c r="H103" s="1665">
        <v>0</v>
      </c>
      <c r="I103" s="1665">
        <v>0</v>
      </c>
      <c r="J103" s="1665">
        <v>0</v>
      </c>
      <c r="K103" s="1665">
        <v>0</v>
      </c>
      <c r="L103" s="1665">
        <v>0</v>
      </c>
      <c r="M103" s="1665">
        <v>0</v>
      </c>
      <c r="N103" s="1665">
        <v>0</v>
      </c>
      <c r="O103" s="191"/>
      <c r="P103" s="78"/>
      <c r="Q103" s="110"/>
      <c r="R103" s="110"/>
    </row>
    <row r="104" spans="2:18" x14ac:dyDescent="0.2">
      <c r="B104" s="76"/>
      <c r="C104" s="191"/>
      <c r="D104" s="590"/>
      <c r="E104" s="35"/>
      <c r="F104" s="43"/>
      <c r="G104" s="35"/>
      <c r="H104" s="1665">
        <v>0</v>
      </c>
      <c r="I104" s="1665">
        <v>0</v>
      </c>
      <c r="J104" s="1665">
        <v>0</v>
      </c>
      <c r="K104" s="1665">
        <v>0</v>
      </c>
      <c r="L104" s="1665">
        <v>0</v>
      </c>
      <c r="M104" s="1665">
        <v>0</v>
      </c>
      <c r="N104" s="1665">
        <v>0</v>
      </c>
      <c r="O104" s="191"/>
      <c r="P104" s="78"/>
      <c r="Q104" s="110"/>
      <c r="R104" s="110"/>
    </row>
    <row r="105" spans="2:18" x14ac:dyDescent="0.2">
      <c r="B105" s="76"/>
      <c r="C105" s="191"/>
      <c r="D105" s="590"/>
      <c r="E105" s="35"/>
      <c r="F105" s="43"/>
      <c r="G105" s="35"/>
      <c r="H105" s="1665">
        <v>0</v>
      </c>
      <c r="I105" s="1665">
        <v>0</v>
      </c>
      <c r="J105" s="1665">
        <v>0</v>
      </c>
      <c r="K105" s="1665">
        <v>0</v>
      </c>
      <c r="L105" s="1665">
        <v>0</v>
      </c>
      <c r="M105" s="1665">
        <v>0</v>
      </c>
      <c r="N105" s="1665">
        <v>0</v>
      </c>
      <c r="O105" s="191"/>
      <c r="P105" s="78"/>
      <c r="Q105" s="110"/>
      <c r="R105" s="110"/>
    </row>
    <row r="106" spans="2:18" x14ac:dyDescent="0.2">
      <c r="B106" s="76"/>
      <c r="C106" s="191"/>
      <c r="D106" s="590"/>
      <c r="E106" s="35"/>
      <c r="F106" s="43"/>
      <c r="G106" s="35"/>
      <c r="H106" s="1665">
        <v>0</v>
      </c>
      <c r="I106" s="1665">
        <v>0</v>
      </c>
      <c r="J106" s="1665">
        <v>0</v>
      </c>
      <c r="K106" s="1665">
        <v>0</v>
      </c>
      <c r="L106" s="1665">
        <v>0</v>
      </c>
      <c r="M106" s="1665">
        <v>0</v>
      </c>
      <c r="N106" s="1665">
        <v>0</v>
      </c>
      <c r="O106" s="191"/>
      <c r="P106" s="78"/>
      <c r="Q106" s="110"/>
      <c r="R106" s="110"/>
    </row>
    <row r="107" spans="2:18" x14ac:dyDescent="0.2">
      <c r="B107" s="76"/>
      <c r="C107" s="191"/>
      <c r="D107" s="35"/>
      <c r="E107" s="35"/>
      <c r="F107" s="186"/>
      <c r="G107" s="35"/>
      <c r="H107" s="546">
        <f>SUM(H102:H106)</f>
        <v>0</v>
      </c>
      <c r="I107" s="546">
        <f t="shared" ref="I107" si="46">SUM(I102:I106)</f>
        <v>0</v>
      </c>
      <c r="J107" s="546">
        <f t="shared" ref="J107" si="47">SUM(J102:J106)</f>
        <v>0</v>
      </c>
      <c r="K107" s="546">
        <f t="shared" ref="K107" si="48">SUM(K102:K106)</f>
        <v>0</v>
      </c>
      <c r="L107" s="546">
        <f t="shared" ref="L107" si="49">SUM(L102:L106)</f>
        <v>0</v>
      </c>
      <c r="M107" s="546">
        <f t="shared" ref="M107" si="50">SUM(M102:M106)</f>
        <v>0</v>
      </c>
      <c r="N107" s="546">
        <f t="shared" ref="N107" si="51">SUM(N102:N106)</f>
        <v>0</v>
      </c>
      <c r="O107" s="191"/>
      <c r="P107" s="78"/>
      <c r="Q107" s="110"/>
      <c r="R107" s="110"/>
    </row>
    <row r="108" spans="2:18" x14ac:dyDescent="0.2">
      <c r="B108" s="76"/>
      <c r="C108" s="82"/>
      <c r="D108" s="40"/>
      <c r="E108" s="40"/>
      <c r="F108" s="41"/>
      <c r="G108" s="40"/>
      <c r="H108" s="1642"/>
      <c r="I108" s="1642"/>
      <c r="J108" s="1642"/>
      <c r="K108" s="1642"/>
      <c r="L108" s="1642"/>
      <c r="M108" s="1642"/>
      <c r="N108" s="1642"/>
      <c r="O108" s="82"/>
      <c r="P108" s="78"/>
      <c r="Q108" s="110"/>
      <c r="R108" s="110"/>
    </row>
    <row r="109" spans="2:18" x14ac:dyDescent="0.2">
      <c r="B109" s="76"/>
      <c r="C109" s="1651"/>
      <c r="D109" s="1652"/>
      <c r="E109" s="1652"/>
      <c r="F109" s="1653"/>
      <c r="G109" s="1652"/>
      <c r="H109" s="1654"/>
      <c r="I109" s="1654"/>
      <c r="J109" s="1654"/>
      <c r="K109" s="1654"/>
      <c r="L109" s="1654"/>
      <c r="M109" s="1654"/>
      <c r="N109" s="1654"/>
      <c r="O109" s="1655"/>
      <c r="P109" s="78"/>
      <c r="Q109" s="110"/>
      <c r="R109" s="110"/>
    </row>
    <row r="110" spans="2:18" x14ac:dyDescent="0.2">
      <c r="B110" s="1518"/>
      <c r="C110" s="1098"/>
      <c r="D110" s="1660"/>
      <c r="E110" s="1660"/>
      <c r="F110" s="1661"/>
      <c r="G110" s="1660"/>
      <c r="H110" s="1662"/>
      <c r="I110" s="1662"/>
      <c r="J110" s="1662"/>
      <c r="K110" s="1662"/>
      <c r="L110" s="1662"/>
      <c r="M110" s="1662"/>
      <c r="N110" s="1662"/>
      <c r="O110" s="1098"/>
      <c r="P110" s="1663"/>
      <c r="Q110" s="110"/>
      <c r="R110" s="110"/>
    </row>
    <row r="111" spans="2:18" x14ac:dyDescent="0.2">
      <c r="B111" s="72"/>
      <c r="C111" s="1666"/>
      <c r="D111" s="893"/>
      <c r="E111" s="893"/>
      <c r="F111" s="1667"/>
      <c r="G111" s="893"/>
      <c r="H111" s="1668"/>
      <c r="I111" s="1668"/>
      <c r="J111" s="1668"/>
      <c r="K111" s="1668"/>
      <c r="L111" s="1668"/>
      <c r="M111" s="1668"/>
      <c r="N111" s="1668"/>
      <c r="O111" s="1666"/>
      <c r="P111" s="75"/>
      <c r="Q111" s="110"/>
      <c r="R111" s="110"/>
    </row>
    <row r="112" spans="2:18" x14ac:dyDescent="0.2">
      <c r="B112" s="76"/>
      <c r="C112" s="680"/>
      <c r="D112" s="890"/>
      <c r="E112" s="890"/>
      <c r="F112" s="1658"/>
      <c r="G112" s="890"/>
      <c r="H112" s="1659"/>
      <c r="I112" s="1659"/>
      <c r="J112" s="1659"/>
      <c r="K112" s="1659"/>
      <c r="L112" s="1659"/>
      <c r="M112" s="1659"/>
      <c r="N112" s="1659"/>
      <c r="O112" s="680"/>
      <c r="P112" s="78"/>
      <c r="Q112" s="110"/>
      <c r="R112" s="110"/>
    </row>
    <row r="113" spans="2:18" x14ac:dyDescent="0.2">
      <c r="B113" s="76"/>
      <c r="C113" s="191"/>
      <c r="D113" s="199"/>
      <c r="E113" s="191"/>
      <c r="F113" s="71"/>
      <c r="G113" s="191"/>
      <c r="H113" s="191"/>
      <c r="I113" s="71"/>
      <c r="J113" s="71"/>
      <c r="K113" s="71"/>
      <c r="L113" s="71"/>
      <c r="M113" s="71"/>
      <c r="N113" s="71"/>
      <c r="O113" s="191"/>
      <c r="P113" s="78"/>
      <c r="Q113" s="110"/>
      <c r="R113" s="110"/>
    </row>
    <row r="114" spans="2:18" s="196" customFormat="1" x14ac:dyDescent="0.2">
      <c r="B114" s="80"/>
      <c r="C114" s="191"/>
      <c r="D114" s="1639" t="str">
        <f>pers!D200</f>
        <v>project 6</v>
      </c>
      <c r="E114" s="191"/>
      <c r="F114" s="71"/>
      <c r="G114" s="191"/>
      <c r="H114" s="191"/>
      <c r="I114" s="71"/>
      <c r="J114" s="71"/>
      <c r="K114" s="71"/>
      <c r="L114" s="71"/>
      <c r="M114" s="71"/>
      <c r="N114" s="71"/>
      <c r="O114" s="191"/>
      <c r="P114" s="91"/>
      <c r="Q114" s="114"/>
      <c r="R114" s="114"/>
    </row>
    <row r="115" spans="2:18" x14ac:dyDescent="0.2">
      <c r="B115" s="76"/>
      <c r="C115" s="191"/>
      <c r="D115" s="189"/>
      <c r="E115" s="191"/>
      <c r="F115" s="71"/>
      <c r="G115" s="191"/>
      <c r="H115" s="191"/>
      <c r="I115" s="71"/>
      <c r="J115" s="71"/>
      <c r="K115" s="71"/>
      <c r="L115" s="71"/>
      <c r="M115" s="71"/>
      <c r="N115" s="71"/>
      <c r="O115" s="191"/>
      <c r="P115" s="78"/>
      <c r="Q115" s="110"/>
      <c r="R115" s="110"/>
    </row>
    <row r="116" spans="2:18" x14ac:dyDescent="0.2">
      <c r="B116" s="76"/>
      <c r="C116" s="191"/>
      <c r="D116" s="199" t="s">
        <v>549</v>
      </c>
      <c r="E116" s="191"/>
      <c r="F116" s="71"/>
      <c r="G116" s="191"/>
      <c r="H116" s="66" t="str">
        <f>tab!D$2</f>
        <v>2014/15</v>
      </c>
      <c r="I116" s="66" t="str">
        <f>tab!E$2</f>
        <v>2015/16</v>
      </c>
      <c r="J116" s="66" t="str">
        <f>tab!F$2</f>
        <v>2016/17</v>
      </c>
      <c r="K116" s="66" t="str">
        <f>tab!G$2</f>
        <v>2017/18</v>
      </c>
      <c r="L116" s="66" t="str">
        <f>tab!H$2</f>
        <v>2018/19</v>
      </c>
      <c r="M116" s="66" t="str">
        <f>tab!I$2</f>
        <v>2019/20</v>
      </c>
      <c r="N116" s="66" t="str">
        <f>tab!J$2</f>
        <v>2020/21</v>
      </c>
      <c r="O116" s="191"/>
      <c r="P116" s="78"/>
      <c r="Q116" s="110"/>
      <c r="R116" s="110"/>
    </row>
    <row r="117" spans="2:18" x14ac:dyDescent="0.2">
      <c r="B117" s="76"/>
      <c r="C117" s="191"/>
      <c r="D117" s="598"/>
      <c r="E117" s="35"/>
      <c r="F117" s="43"/>
      <c r="G117" s="35"/>
      <c r="H117" s="537">
        <v>0</v>
      </c>
      <c r="I117" s="537">
        <f>H117</f>
        <v>0</v>
      </c>
      <c r="J117" s="537">
        <f t="shared" ref="J117:N117" si="52">I117</f>
        <v>0</v>
      </c>
      <c r="K117" s="537">
        <f t="shared" si="52"/>
        <v>0</v>
      </c>
      <c r="L117" s="537">
        <f t="shared" si="52"/>
        <v>0</v>
      </c>
      <c r="M117" s="537">
        <f t="shared" si="52"/>
        <v>0</v>
      </c>
      <c r="N117" s="537">
        <f t="shared" si="52"/>
        <v>0</v>
      </c>
      <c r="O117" s="191"/>
      <c r="P117" s="78"/>
      <c r="Q117" s="110"/>
      <c r="R117" s="110"/>
    </row>
    <row r="118" spans="2:18" x14ac:dyDescent="0.2">
      <c r="B118" s="76"/>
      <c r="C118" s="191"/>
      <c r="D118" s="590"/>
      <c r="E118" s="35"/>
      <c r="F118" s="43"/>
      <c r="G118" s="35"/>
      <c r="H118" s="537">
        <v>0</v>
      </c>
      <c r="I118" s="537">
        <f t="shared" ref="I118:N118" si="53">H118</f>
        <v>0</v>
      </c>
      <c r="J118" s="537">
        <f t="shared" si="53"/>
        <v>0</v>
      </c>
      <c r="K118" s="537">
        <f t="shared" si="53"/>
        <v>0</v>
      </c>
      <c r="L118" s="537">
        <f t="shared" si="53"/>
        <v>0</v>
      </c>
      <c r="M118" s="537">
        <f t="shared" si="53"/>
        <v>0</v>
      </c>
      <c r="N118" s="537">
        <f t="shared" si="53"/>
        <v>0</v>
      </c>
      <c r="O118" s="191"/>
      <c r="P118" s="78"/>
      <c r="Q118" s="110"/>
      <c r="R118" s="110"/>
    </row>
    <row r="119" spans="2:18" x14ac:dyDescent="0.2">
      <c r="B119" s="76"/>
      <c r="C119" s="191"/>
      <c r="D119" s="590"/>
      <c r="E119" s="35"/>
      <c r="F119" s="43"/>
      <c r="G119" s="35"/>
      <c r="H119" s="537">
        <v>0</v>
      </c>
      <c r="I119" s="537">
        <f t="shared" ref="I119:N119" si="54">H119</f>
        <v>0</v>
      </c>
      <c r="J119" s="537">
        <f t="shared" si="54"/>
        <v>0</v>
      </c>
      <c r="K119" s="537">
        <f t="shared" si="54"/>
        <v>0</v>
      </c>
      <c r="L119" s="537">
        <f t="shared" si="54"/>
        <v>0</v>
      </c>
      <c r="M119" s="537">
        <f t="shared" si="54"/>
        <v>0</v>
      </c>
      <c r="N119" s="537">
        <f t="shared" si="54"/>
        <v>0</v>
      </c>
      <c r="O119" s="191"/>
      <c r="P119" s="78"/>
      <c r="Q119" s="110"/>
      <c r="R119" s="110"/>
    </row>
    <row r="120" spans="2:18" x14ac:dyDescent="0.2">
      <c r="B120" s="76"/>
      <c r="C120" s="191"/>
      <c r="D120" s="590"/>
      <c r="E120" s="35"/>
      <c r="F120" s="43"/>
      <c r="G120" s="35"/>
      <c r="H120" s="537">
        <v>0</v>
      </c>
      <c r="I120" s="537">
        <f t="shared" ref="I120:N120" si="55">H120</f>
        <v>0</v>
      </c>
      <c r="J120" s="537">
        <f t="shared" si="55"/>
        <v>0</v>
      </c>
      <c r="K120" s="537">
        <f t="shared" si="55"/>
        <v>0</v>
      </c>
      <c r="L120" s="537">
        <f t="shared" si="55"/>
        <v>0</v>
      </c>
      <c r="M120" s="537">
        <f t="shared" si="55"/>
        <v>0</v>
      </c>
      <c r="N120" s="537">
        <f t="shared" si="55"/>
        <v>0</v>
      </c>
      <c r="O120" s="222"/>
      <c r="P120" s="78"/>
      <c r="Q120" s="110"/>
      <c r="R120" s="110"/>
    </row>
    <row r="121" spans="2:18" x14ac:dyDescent="0.2">
      <c r="B121" s="76"/>
      <c r="C121" s="191"/>
      <c r="D121" s="590"/>
      <c r="E121" s="35"/>
      <c r="F121" s="43"/>
      <c r="G121" s="35"/>
      <c r="H121" s="537">
        <v>0</v>
      </c>
      <c r="I121" s="537">
        <f t="shared" ref="I121:N121" si="56">H121</f>
        <v>0</v>
      </c>
      <c r="J121" s="537">
        <f t="shared" si="56"/>
        <v>0</v>
      </c>
      <c r="K121" s="537">
        <f t="shared" si="56"/>
        <v>0</v>
      </c>
      <c r="L121" s="537">
        <f t="shared" si="56"/>
        <v>0</v>
      </c>
      <c r="M121" s="537">
        <f t="shared" si="56"/>
        <v>0</v>
      </c>
      <c r="N121" s="537">
        <f t="shared" si="56"/>
        <v>0</v>
      </c>
      <c r="O121" s="222"/>
      <c r="P121" s="78"/>
      <c r="Q121" s="110"/>
      <c r="R121" s="110"/>
    </row>
    <row r="122" spans="2:18" s="196" customFormat="1" x14ac:dyDescent="0.2">
      <c r="B122" s="80"/>
      <c r="C122" s="191"/>
      <c r="D122" s="35"/>
      <c r="E122" s="35"/>
      <c r="F122" s="186"/>
      <c r="G122" s="35"/>
      <c r="H122" s="546">
        <f t="shared" ref="H122:N122" si="57">SUM(H117:H121)</f>
        <v>0</v>
      </c>
      <c r="I122" s="546">
        <f t="shared" si="57"/>
        <v>0</v>
      </c>
      <c r="J122" s="546">
        <f t="shared" si="57"/>
        <v>0</v>
      </c>
      <c r="K122" s="546">
        <f t="shared" si="57"/>
        <v>0</v>
      </c>
      <c r="L122" s="546">
        <f t="shared" si="57"/>
        <v>0</v>
      </c>
      <c r="M122" s="546">
        <f t="shared" si="57"/>
        <v>0</v>
      </c>
      <c r="N122" s="546">
        <f t="shared" si="57"/>
        <v>0</v>
      </c>
      <c r="O122" s="191"/>
      <c r="P122" s="91"/>
      <c r="Q122" s="114"/>
      <c r="R122" s="114"/>
    </row>
    <row r="123" spans="2:18" x14ac:dyDescent="0.2">
      <c r="B123" s="76"/>
      <c r="C123" s="191"/>
      <c r="D123" s="35"/>
      <c r="E123" s="35"/>
      <c r="F123" s="186"/>
      <c r="G123" s="35"/>
      <c r="H123" s="1640"/>
      <c r="I123" s="1640"/>
      <c r="J123" s="1640"/>
      <c r="K123" s="1640"/>
      <c r="L123" s="1640"/>
      <c r="M123" s="1640"/>
      <c r="N123" s="1640"/>
      <c r="O123" s="191"/>
      <c r="P123" s="78"/>
      <c r="Q123" s="110"/>
      <c r="R123" s="110"/>
    </row>
    <row r="124" spans="2:18" x14ac:dyDescent="0.2">
      <c r="B124" s="76"/>
      <c r="C124" s="191"/>
      <c r="D124" s="199" t="s">
        <v>550</v>
      </c>
      <c r="E124" s="35"/>
      <c r="F124" s="186"/>
      <c r="G124" s="35"/>
      <c r="H124" s="1641">
        <f>tab!E$4</f>
        <v>2015</v>
      </c>
      <c r="I124" s="1641">
        <f>tab!F$4</f>
        <v>2016</v>
      </c>
      <c r="J124" s="1641">
        <f>tab!G$4</f>
        <v>2017</v>
      </c>
      <c r="K124" s="1641">
        <f>tab!H$4</f>
        <v>2018</v>
      </c>
      <c r="L124" s="1641">
        <f>tab!I$4</f>
        <v>2019</v>
      </c>
      <c r="M124" s="1641">
        <f>tab!J$4</f>
        <v>2020</v>
      </c>
      <c r="N124" s="1641">
        <f>tab!K$4</f>
        <v>2021</v>
      </c>
      <c r="O124" s="191"/>
      <c r="P124" s="78"/>
      <c r="Q124" s="110"/>
      <c r="R124" s="110"/>
    </row>
    <row r="125" spans="2:18" x14ac:dyDescent="0.2">
      <c r="B125" s="76"/>
      <c r="C125" s="191"/>
      <c r="D125" s="598"/>
      <c r="E125" s="35"/>
      <c r="F125" s="43"/>
      <c r="G125" s="35"/>
      <c r="H125" s="1665">
        <v>0</v>
      </c>
      <c r="I125" s="1665">
        <v>0</v>
      </c>
      <c r="J125" s="1665">
        <v>0</v>
      </c>
      <c r="K125" s="1665">
        <v>0</v>
      </c>
      <c r="L125" s="1665">
        <v>0</v>
      </c>
      <c r="M125" s="1665">
        <v>0</v>
      </c>
      <c r="N125" s="1665">
        <v>0</v>
      </c>
      <c r="O125" s="191"/>
      <c r="P125" s="78"/>
      <c r="Q125" s="110"/>
      <c r="R125" s="110"/>
    </row>
    <row r="126" spans="2:18" x14ac:dyDescent="0.2">
      <c r="B126" s="76"/>
      <c r="C126" s="191"/>
      <c r="D126" s="590"/>
      <c r="E126" s="35"/>
      <c r="F126" s="43"/>
      <c r="G126" s="35"/>
      <c r="H126" s="1665">
        <v>0</v>
      </c>
      <c r="I126" s="1665">
        <v>0</v>
      </c>
      <c r="J126" s="1665">
        <v>0</v>
      </c>
      <c r="K126" s="1665">
        <v>0</v>
      </c>
      <c r="L126" s="1665">
        <v>0</v>
      </c>
      <c r="M126" s="1665">
        <v>0</v>
      </c>
      <c r="N126" s="1665">
        <v>0</v>
      </c>
      <c r="O126" s="191"/>
      <c r="P126" s="78"/>
      <c r="Q126" s="110"/>
      <c r="R126" s="110"/>
    </row>
    <row r="127" spans="2:18" x14ac:dyDescent="0.2">
      <c r="B127" s="76"/>
      <c r="C127" s="191"/>
      <c r="D127" s="590"/>
      <c r="E127" s="35"/>
      <c r="F127" s="43"/>
      <c r="G127" s="35"/>
      <c r="H127" s="1665">
        <v>0</v>
      </c>
      <c r="I127" s="1665">
        <v>0</v>
      </c>
      <c r="J127" s="1665">
        <v>0</v>
      </c>
      <c r="K127" s="1665">
        <v>0</v>
      </c>
      <c r="L127" s="1665">
        <v>0</v>
      </c>
      <c r="M127" s="1665">
        <v>0</v>
      </c>
      <c r="N127" s="1665">
        <v>0</v>
      </c>
      <c r="O127" s="191"/>
      <c r="P127" s="78"/>
      <c r="Q127" s="110"/>
      <c r="R127" s="110"/>
    </row>
    <row r="128" spans="2:18" x14ac:dyDescent="0.2">
      <c r="B128" s="76"/>
      <c r="C128" s="191"/>
      <c r="D128" s="590"/>
      <c r="E128" s="35"/>
      <c r="F128" s="43"/>
      <c r="G128" s="35"/>
      <c r="H128" s="1665">
        <v>0</v>
      </c>
      <c r="I128" s="1665">
        <v>0</v>
      </c>
      <c r="J128" s="1665">
        <v>0</v>
      </c>
      <c r="K128" s="1665">
        <v>0</v>
      </c>
      <c r="L128" s="1665">
        <v>0</v>
      </c>
      <c r="M128" s="1665">
        <v>0</v>
      </c>
      <c r="N128" s="1665">
        <v>0</v>
      </c>
      <c r="O128" s="191"/>
      <c r="P128" s="78"/>
      <c r="Q128" s="110"/>
      <c r="R128" s="110"/>
    </row>
    <row r="129" spans="2:18" x14ac:dyDescent="0.2">
      <c r="B129" s="76"/>
      <c r="C129" s="191"/>
      <c r="D129" s="590"/>
      <c r="E129" s="35"/>
      <c r="F129" s="43"/>
      <c r="G129" s="35"/>
      <c r="H129" s="1665">
        <v>0</v>
      </c>
      <c r="I129" s="1665">
        <v>0</v>
      </c>
      <c r="J129" s="1665">
        <v>0</v>
      </c>
      <c r="K129" s="1665">
        <v>0</v>
      </c>
      <c r="L129" s="1665">
        <v>0</v>
      </c>
      <c r="M129" s="1665">
        <v>0</v>
      </c>
      <c r="N129" s="1665">
        <v>0</v>
      </c>
      <c r="O129" s="191"/>
      <c r="P129" s="78"/>
      <c r="Q129" s="110"/>
      <c r="R129" s="110"/>
    </row>
    <row r="130" spans="2:18" x14ac:dyDescent="0.2">
      <c r="B130" s="76"/>
      <c r="C130" s="191"/>
      <c r="D130" s="35"/>
      <c r="E130" s="35"/>
      <c r="F130" s="186"/>
      <c r="G130" s="35"/>
      <c r="H130" s="546">
        <f>SUM(H125:H129)</f>
        <v>0</v>
      </c>
      <c r="I130" s="546">
        <f t="shared" ref="I130" si="58">SUM(I125:I129)</f>
        <v>0</v>
      </c>
      <c r="J130" s="546">
        <f t="shared" ref="J130" si="59">SUM(J125:J129)</f>
        <v>0</v>
      </c>
      <c r="K130" s="546">
        <f t="shared" ref="K130" si="60">SUM(K125:K129)</f>
        <v>0</v>
      </c>
      <c r="L130" s="546">
        <f t="shared" ref="L130" si="61">SUM(L125:L129)</f>
        <v>0</v>
      </c>
      <c r="M130" s="546">
        <f t="shared" ref="M130" si="62">SUM(M125:M129)</f>
        <v>0</v>
      </c>
      <c r="N130" s="546">
        <f t="shared" ref="N130" si="63">SUM(N125:N129)</f>
        <v>0</v>
      </c>
      <c r="O130" s="191"/>
      <c r="P130" s="78"/>
      <c r="Q130" s="110"/>
      <c r="R130" s="110"/>
    </row>
    <row r="131" spans="2:18" x14ac:dyDescent="0.2">
      <c r="B131" s="76"/>
      <c r="C131" s="82"/>
      <c r="D131" s="40"/>
      <c r="E131" s="40"/>
      <c r="F131" s="41"/>
      <c r="G131" s="40"/>
      <c r="H131" s="1642"/>
      <c r="I131" s="1642"/>
      <c r="J131" s="1642"/>
      <c r="K131" s="1642"/>
      <c r="L131" s="1642"/>
      <c r="M131" s="1642"/>
      <c r="N131" s="1642"/>
      <c r="O131" s="82"/>
      <c r="P131" s="78"/>
      <c r="Q131" s="110"/>
      <c r="R131" s="110"/>
    </row>
    <row r="132" spans="2:18" x14ac:dyDescent="0.2">
      <c r="B132" s="76"/>
      <c r="C132" s="1646"/>
      <c r="D132" s="1643"/>
      <c r="E132" s="1643"/>
      <c r="F132" s="1644"/>
      <c r="G132" s="1643"/>
      <c r="H132" s="1645"/>
      <c r="I132" s="1645"/>
      <c r="J132" s="1645"/>
      <c r="K132" s="1645"/>
      <c r="L132" s="1645"/>
      <c r="M132" s="1645"/>
      <c r="N132" s="1645"/>
      <c r="O132" s="1647"/>
      <c r="P132" s="78"/>
      <c r="Q132" s="110"/>
      <c r="R132" s="110"/>
    </row>
    <row r="133" spans="2:18" x14ac:dyDescent="0.2">
      <c r="B133" s="76"/>
      <c r="C133" s="191"/>
      <c r="D133" s="199"/>
      <c r="E133" s="191"/>
      <c r="F133" s="71"/>
      <c r="G133" s="191"/>
      <c r="H133" s="191"/>
      <c r="I133" s="71"/>
      <c r="J133" s="71"/>
      <c r="K133" s="71"/>
      <c r="L133" s="71"/>
      <c r="M133" s="71"/>
      <c r="N133" s="71"/>
      <c r="O133" s="191"/>
      <c r="P133" s="78"/>
      <c r="Q133" s="110"/>
      <c r="R133" s="110"/>
    </row>
    <row r="134" spans="2:18" x14ac:dyDescent="0.2">
      <c r="B134" s="76"/>
      <c r="C134" s="191"/>
      <c r="D134" s="1639" t="str">
        <f>pers!D201</f>
        <v>project 7</v>
      </c>
      <c r="E134" s="191"/>
      <c r="F134" s="71"/>
      <c r="G134" s="191"/>
      <c r="H134" s="191"/>
      <c r="I134" s="71"/>
      <c r="J134" s="71"/>
      <c r="K134" s="71"/>
      <c r="L134" s="71"/>
      <c r="M134" s="71"/>
      <c r="N134" s="71"/>
      <c r="O134" s="191"/>
      <c r="P134" s="78"/>
      <c r="Q134" s="110"/>
      <c r="R134" s="110"/>
    </row>
    <row r="135" spans="2:18" x14ac:dyDescent="0.2">
      <c r="B135" s="76"/>
      <c r="C135" s="191"/>
      <c r="D135" s="189"/>
      <c r="E135" s="191"/>
      <c r="F135" s="71"/>
      <c r="G135" s="191"/>
      <c r="H135" s="191"/>
      <c r="I135" s="71"/>
      <c r="J135" s="71"/>
      <c r="K135" s="71"/>
      <c r="L135" s="71"/>
      <c r="M135" s="71"/>
      <c r="N135" s="71"/>
      <c r="O135" s="191"/>
      <c r="P135" s="78"/>
      <c r="Q135" s="110"/>
      <c r="R135" s="110"/>
    </row>
    <row r="136" spans="2:18" x14ac:dyDescent="0.2">
      <c r="B136" s="76"/>
      <c r="C136" s="191"/>
      <c r="D136" s="199" t="s">
        <v>549</v>
      </c>
      <c r="E136" s="191"/>
      <c r="F136" s="71"/>
      <c r="G136" s="191"/>
      <c r="H136" s="66" t="str">
        <f>tab!D$2</f>
        <v>2014/15</v>
      </c>
      <c r="I136" s="66" t="str">
        <f>tab!E$2</f>
        <v>2015/16</v>
      </c>
      <c r="J136" s="66" t="str">
        <f>tab!F$2</f>
        <v>2016/17</v>
      </c>
      <c r="K136" s="66" t="str">
        <f>tab!G$2</f>
        <v>2017/18</v>
      </c>
      <c r="L136" s="66" t="str">
        <f>tab!H$2</f>
        <v>2018/19</v>
      </c>
      <c r="M136" s="66" t="str">
        <f>tab!I$2</f>
        <v>2019/20</v>
      </c>
      <c r="N136" s="66" t="str">
        <f>tab!J$2</f>
        <v>2020/21</v>
      </c>
      <c r="O136" s="191"/>
      <c r="P136" s="78"/>
      <c r="Q136" s="110"/>
      <c r="R136" s="110"/>
    </row>
    <row r="137" spans="2:18" x14ac:dyDescent="0.2">
      <c r="B137" s="76"/>
      <c r="C137" s="191"/>
      <c r="D137" s="598"/>
      <c r="E137" s="35"/>
      <c r="F137" s="43"/>
      <c r="G137" s="35"/>
      <c r="H137" s="537">
        <v>0</v>
      </c>
      <c r="I137" s="537">
        <f>H137</f>
        <v>0</v>
      </c>
      <c r="J137" s="537">
        <f t="shared" ref="J137:N137" si="64">I137</f>
        <v>0</v>
      </c>
      <c r="K137" s="537">
        <f t="shared" si="64"/>
        <v>0</v>
      </c>
      <c r="L137" s="537">
        <f t="shared" si="64"/>
        <v>0</v>
      </c>
      <c r="M137" s="537">
        <f t="shared" si="64"/>
        <v>0</v>
      </c>
      <c r="N137" s="537">
        <f t="shared" si="64"/>
        <v>0</v>
      </c>
      <c r="O137" s="191"/>
      <c r="P137" s="78"/>
      <c r="Q137" s="110"/>
      <c r="R137" s="110"/>
    </row>
    <row r="138" spans="2:18" x14ac:dyDescent="0.2">
      <c r="B138" s="76"/>
      <c r="C138" s="191"/>
      <c r="D138" s="590"/>
      <c r="E138" s="35"/>
      <c r="F138" s="43"/>
      <c r="G138" s="35"/>
      <c r="H138" s="537">
        <v>0</v>
      </c>
      <c r="I138" s="537">
        <f t="shared" ref="I138:N138" si="65">H138</f>
        <v>0</v>
      </c>
      <c r="J138" s="537">
        <f t="shared" si="65"/>
        <v>0</v>
      </c>
      <c r="K138" s="537">
        <f t="shared" si="65"/>
        <v>0</v>
      </c>
      <c r="L138" s="537">
        <f t="shared" si="65"/>
        <v>0</v>
      </c>
      <c r="M138" s="537">
        <f t="shared" si="65"/>
        <v>0</v>
      </c>
      <c r="N138" s="537">
        <f t="shared" si="65"/>
        <v>0</v>
      </c>
      <c r="O138" s="191"/>
      <c r="P138" s="78"/>
      <c r="Q138" s="110"/>
      <c r="R138" s="110"/>
    </row>
    <row r="139" spans="2:18" x14ac:dyDescent="0.2">
      <c r="B139" s="76"/>
      <c r="C139" s="191"/>
      <c r="D139" s="590"/>
      <c r="E139" s="35"/>
      <c r="F139" s="43"/>
      <c r="G139" s="35"/>
      <c r="H139" s="537">
        <v>0</v>
      </c>
      <c r="I139" s="537">
        <f t="shared" ref="I139:N139" si="66">H139</f>
        <v>0</v>
      </c>
      <c r="J139" s="537">
        <f t="shared" si="66"/>
        <v>0</v>
      </c>
      <c r="K139" s="537">
        <f t="shared" si="66"/>
        <v>0</v>
      </c>
      <c r="L139" s="537">
        <f t="shared" si="66"/>
        <v>0</v>
      </c>
      <c r="M139" s="537">
        <f t="shared" si="66"/>
        <v>0</v>
      </c>
      <c r="N139" s="537">
        <f t="shared" si="66"/>
        <v>0</v>
      </c>
      <c r="O139" s="191"/>
      <c r="P139" s="78"/>
      <c r="Q139" s="110"/>
      <c r="R139" s="110"/>
    </row>
    <row r="140" spans="2:18" x14ac:dyDescent="0.2">
      <c r="B140" s="76"/>
      <c r="C140" s="191"/>
      <c r="D140" s="590"/>
      <c r="E140" s="35"/>
      <c r="F140" s="43"/>
      <c r="G140" s="35"/>
      <c r="H140" s="537">
        <v>0</v>
      </c>
      <c r="I140" s="537">
        <f t="shared" ref="I140:N140" si="67">H140</f>
        <v>0</v>
      </c>
      <c r="J140" s="537">
        <f t="shared" si="67"/>
        <v>0</v>
      </c>
      <c r="K140" s="537">
        <f t="shared" si="67"/>
        <v>0</v>
      </c>
      <c r="L140" s="537">
        <f t="shared" si="67"/>
        <v>0</v>
      </c>
      <c r="M140" s="537">
        <f t="shared" si="67"/>
        <v>0</v>
      </c>
      <c r="N140" s="537">
        <f t="shared" si="67"/>
        <v>0</v>
      </c>
      <c r="O140" s="222"/>
      <c r="P140" s="78"/>
      <c r="Q140" s="110"/>
      <c r="R140" s="110"/>
    </row>
    <row r="141" spans="2:18" x14ac:dyDescent="0.2">
      <c r="B141" s="76"/>
      <c r="C141" s="191"/>
      <c r="D141" s="590"/>
      <c r="E141" s="35"/>
      <c r="F141" s="43"/>
      <c r="G141" s="35"/>
      <c r="H141" s="537">
        <v>0</v>
      </c>
      <c r="I141" s="537">
        <f t="shared" ref="I141:N141" si="68">H141</f>
        <v>0</v>
      </c>
      <c r="J141" s="537">
        <f t="shared" si="68"/>
        <v>0</v>
      </c>
      <c r="K141" s="537">
        <f t="shared" si="68"/>
        <v>0</v>
      </c>
      <c r="L141" s="537">
        <f t="shared" si="68"/>
        <v>0</v>
      </c>
      <c r="M141" s="537">
        <f t="shared" si="68"/>
        <v>0</v>
      </c>
      <c r="N141" s="537">
        <f t="shared" si="68"/>
        <v>0</v>
      </c>
      <c r="O141" s="222"/>
      <c r="P141" s="78"/>
      <c r="Q141" s="110"/>
      <c r="R141" s="110"/>
    </row>
    <row r="142" spans="2:18" x14ac:dyDescent="0.2">
      <c r="B142" s="76"/>
      <c r="C142" s="191"/>
      <c r="D142" s="35"/>
      <c r="E142" s="35"/>
      <c r="F142" s="186"/>
      <c r="G142" s="35"/>
      <c r="H142" s="546">
        <f t="shared" ref="H142:N142" si="69">SUM(H137:H141)</f>
        <v>0</v>
      </c>
      <c r="I142" s="546">
        <f t="shared" si="69"/>
        <v>0</v>
      </c>
      <c r="J142" s="546">
        <f t="shared" si="69"/>
        <v>0</v>
      </c>
      <c r="K142" s="546">
        <f t="shared" si="69"/>
        <v>0</v>
      </c>
      <c r="L142" s="546">
        <f t="shared" si="69"/>
        <v>0</v>
      </c>
      <c r="M142" s="546">
        <f t="shared" si="69"/>
        <v>0</v>
      </c>
      <c r="N142" s="546">
        <f t="shared" si="69"/>
        <v>0</v>
      </c>
      <c r="O142" s="191"/>
      <c r="P142" s="78"/>
      <c r="Q142" s="110"/>
      <c r="R142" s="110"/>
    </row>
    <row r="143" spans="2:18" x14ac:dyDescent="0.2">
      <c r="B143" s="76"/>
      <c r="C143" s="191"/>
      <c r="D143" s="35"/>
      <c r="E143" s="35"/>
      <c r="F143" s="186"/>
      <c r="G143" s="35"/>
      <c r="H143" s="1640"/>
      <c r="I143" s="1640"/>
      <c r="J143" s="1640"/>
      <c r="K143" s="1640"/>
      <c r="L143" s="1640"/>
      <c r="M143" s="1640"/>
      <c r="N143" s="1640"/>
      <c r="O143" s="191"/>
      <c r="P143" s="78"/>
      <c r="Q143" s="110"/>
      <c r="R143" s="110"/>
    </row>
    <row r="144" spans="2:18" x14ac:dyDescent="0.2">
      <c r="B144" s="76"/>
      <c r="C144" s="191"/>
      <c r="D144" s="199" t="s">
        <v>550</v>
      </c>
      <c r="E144" s="35"/>
      <c r="F144" s="186"/>
      <c r="G144" s="35"/>
      <c r="H144" s="1641">
        <f>tab!E$4</f>
        <v>2015</v>
      </c>
      <c r="I144" s="1641">
        <f>tab!F$4</f>
        <v>2016</v>
      </c>
      <c r="J144" s="1641">
        <f>tab!G$4</f>
        <v>2017</v>
      </c>
      <c r="K144" s="1641">
        <f>tab!H$4</f>
        <v>2018</v>
      </c>
      <c r="L144" s="1641">
        <f>tab!I$4</f>
        <v>2019</v>
      </c>
      <c r="M144" s="1641">
        <f>tab!J$4</f>
        <v>2020</v>
      </c>
      <c r="N144" s="1641">
        <f>tab!K$4</f>
        <v>2021</v>
      </c>
      <c r="O144" s="191"/>
      <c r="P144" s="78"/>
      <c r="Q144" s="110"/>
      <c r="R144" s="110"/>
    </row>
    <row r="145" spans="2:18" x14ac:dyDescent="0.2">
      <c r="B145" s="76"/>
      <c r="C145" s="191"/>
      <c r="D145" s="598"/>
      <c r="E145" s="35"/>
      <c r="F145" s="43"/>
      <c r="G145" s="35"/>
      <c r="H145" s="1665">
        <v>0</v>
      </c>
      <c r="I145" s="1665">
        <v>0</v>
      </c>
      <c r="J145" s="1665">
        <v>0</v>
      </c>
      <c r="K145" s="1665">
        <v>0</v>
      </c>
      <c r="L145" s="1665">
        <v>0</v>
      </c>
      <c r="M145" s="1665">
        <v>0</v>
      </c>
      <c r="N145" s="1665">
        <v>0</v>
      </c>
      <c r="O145" s="191"/>
      <c r="P145" s="78"/>
      <c r="Q145" s="110"/>
      <c r="R145" s="110"/>
    </row>
    <row r="146" spans="2:18" x14ac:dyDescent="0.2">
      <c r="B146" s="76"/>
      <c r="C146" s="191"/>
      <c r="D146" s="590"/>
      <c r="E146" s="35"/>
      <c r="F146" s="43"/>
      <c r="G146" s="35"/>
      <c r="H146" s="1665">
        <v>0</v>
      </c>
      <c r="I146" s="1665">
        <v>0</v>
      </c>
      <c r="J146" s="1665">
        <v>0</v>
      </c>
      <c r="K146" s="1665">
        <v>0</v>
      </c>
      <c r="L146" s="1665">
        <v>0</v>
      </c>
      <c r="M146" s="1665">
        <v>0</v>
      </c>
      <c r="N146" s="1665">
        <v>0</v>
      </c>
      <c r="O146" s="191"/>
      <c r="P146" s="78"/>
      <c r="Q146" s="110"/>
      <c r="R146" s="110"/>
    </row>
    <row r="147" spans="2:18" x14ac:dyDescent="0.2">
      <c r="B147" s="76"/>
      <c r="C147" s="191"/>
      <c r="D147" s="590"/>
      <c r="E147" s="35"/>
      <c r="F147" s="43"/>
      <c r="G147" s="35"/>
      <c r="H147" s="1665">
        <v>0</v>
      </c>
      <c r="I147" s="1665">
        <v>0</v>
      </c>
      <c r="J147" s="1665">
        <v>0</v>
      </c>
      <c r="K147" s="1665">
        <v>0</v>
      </c>
      <c r="L147" s="1665">
        <v>0</v>
      </c>
      <c r="M147" s="1665">
        <v>0</v>
      </c>
      <c r="N147" s="1665">
        <v>0</v>
      </c>
      <c r="O147" s="191"/>
      <c r="P147" s="78"/>
      <c r="Q147" s="110"/>
      <c r="R147" s="110"/>
    </row>
    <row r="148" spans="2:18" x14ac:dyDescent="0.2">
      <c r="B148" s="76"/>
      <c r="C148" s="191"/>
      <c r="D148" s="590"/>
      <c r="E148" s="35"/>
      <c r="F148" s="43"/>
      <c r="G148" s="35"/>
      <c r="H148" s="1665">
        <v>0</v>
      </c>
      <c r="I148" s="1665">
        <v>0</v>
      </c>
      <c r="J148" s="1665">
        <v>0</v>
      </c>
      <c r="K148" s="1665">
        <v>0</v>
      </c>
      <c r="L148" s="1665">
        <v>0</v>
      </c>
      <c r="M148" s="1665">
        <v>0</v>
      </c>
      <c r="N148" s="1665">
        <v>0</v>
      </c>
      <c r="O148" s="191"/>
      <c r="P148" s="78"/>
      <c r="Q148" s="110"/>
      <c r="R148" s="110"/>
    </row>
    <row r="149" spans="2:18" x14ac:dyDescent="0.2">
      <c r="B149" s="76"/>
      <c r="C149" s="191"/>
      <c r="D149" s="590"/>
      <c r="E149" s="35"/>
      <c r="F149" s="43"/>
      <c r="G149" s="35"/>
      <c r="H149" s="1665">
        <v>0</v>
      </c>
      <c r="I149" s="1665">
        <v>0</v>
      </c>
      <c r="J149" s="1665">
        <v>0</v>
      </c>
      <c r="K149" s="1665">
        <v>0</v>
      </c>
      <c r="L149" s="1665">
        <v>0</v>
      </c>
      <c r="M149" s="1665">
        <v>0</v>
      </c>
      <c r="N149" s="1665">
        <v>0</v>
      </c>
      <c r="O149" s="191"/>
      <c r="P149" s="78"/>
      <c r="Q149" s="110"/>
      <c r="R149" s="110"/>
    </row>
    <row r="150" spans="2:18" x14ac:dyDescent="0.2">
      <c r="B150" s="76"/>
      <c r="C150" s="191"/>
      <c r="D150" s="35"/>
      <c r="E150" s="35"/>
      <c r="F150" s="186"/>
      <c r="G150" s="35"/>
      <c r="H150" s="546">
        <f>SUM(H145:H149)</f>
        <v>0</v>
      </c>
      <c r="I150" s="546">
        <f t="shared" ref="I150" si="70">SUM(I145:I149)</f>
        <v>0</v>
      </c>
      <c r="J150" s="546">
        <f t="shared" ref="J150" si="71">SUM(J145:J149)</f>
        <v>0</v>
      </c>
      <c r="K150" s="546">
        <f t="shared" ref="K150" si="72">SUM(K145:K149)</f>
        <v>0</v>
      </c>
      <c r="L150" s="546">
        <f t="shared" ref="L150" si="73">SUM(L145:L149)</f>
        <v>0</v>
      </c>
      <c r="M150" s="546">
        <f t="shared" ref="M150" si="74">SUM(M145:M149)</f>
        <v>0</v>
      </c>
      <c r="N150" s="546">
        <f t="shared" ref="N150" si="75">SUM(N145:N149)</f>
        <v>0</v>
      </c>
      <c r="O150" s="191"/>
      <c r="P150" s="78"/>
      <c r="Q150" s="110"/>
      <c r="R150" s="110"/>
    </row>
    <row r="151" spans="2:18" x14ac:dyDescent="0.2">
      <c r="B151" s="76"/>
      <c r="C151" s="82"/>
      <c r="D151" s="40"/>
      <c r="E151" s="40"/>
      <c r="F151" s="41"/>
      <c r="G151" s="40"/>
      <c r="H151" s="1642"/>
      <c r="I151" s="1642"/>
      <c r="J151" s="1642"/>
      <c r="K151" s="1642"/>
      <c r="L151" s="1642"/>
      <c r="M151" s="1642"/>
      <c r="N151" s="1642"/>
      <c r="O151" s="82"/>
      <c r="P151" s="78"/>
      <c r="Q151" s="110"/>
      <c r="R151" s="110"/>
    </row>
    <row r="152" spans="2:18" x14ac:dyDescent="0.2">
      <c r="B152" s="76"/>
      <c r="C152" s="1646"/>
      <c r="D152" s="1643"/>
      <c r="E152" s="1643"/>
      <c r="F152" s="1644"/>
      <c r="G152" s="1643"/>
      <c r="H152" s="1645"/>
      <c r="I152" s="1645"/>
      <c r="J152" s="1645"/>
      <c r="K152" s="1645"/>
      <c r="L152" s="1645"/>
      <c r="M152" s="1645"/>
      <c r="N152" s="1645"/>
      <c r="O152" s="1647"/>
      <c r="P152" s="78"/>
      <c r="Q152" s="110"/>
      <c r="R152" s="110"/>
    </row>
    <row r="153" spans="2:18" x14ac:dyDescent="0.2">
      <c r="B153" s="76"/>
      <c r="C153" s="191"/>
      <c r="D153" s="199"/>
      <c r="E153" s="191"/>
      <c r="F153" s="71"/>
      <c r="G153" s="191"/>
      <c r="H153" s="191"/>
      <c r="I153" s="71"/>
      <c r="J153" s="71"/>
      <c r="K153" s="71"/>
      <c r="L153" s="71"/>
      <c r="M153" s="71"/>
      <c r="N153" s="71"/>
      <c r="O153" s="191"/>
      <c r="P153" s="78"/>
      <c r="Q153" s="110"/>
      <c r="R153" s="110"/>
    </row>
    <row r="154" spans="2:18" x14ac:dyDescent="0.2">
      <c r="B154" s="76"/>
      <c r="C154" s="191"/>
      <c r="D154" s="1639" t="str">
        <f>pers!D202</f>
        <v>project 8</v>
      </c>
      <c r="E154" s="191"/>
      <c r="F154" s="71"/>
      <c r="G154" s="191"/>
      <c r="H154" s="191"/>
      <c r="I154" s="71"/>
      <c r="J154" s="71"/>
      <c r="K154" s="71"/>
      <c r="L154" s="71"/>
      <c r="M154" s="71"/>
      <c r="N154" s="71"/>
      <c r="O154" s="191"/>
      <c r="P154" s="78"/>
      <c r="Q154" s="110"/>
      <c r="R154" s="110"/>
    </row>
    <row r="155" spans="2:18" x14ac:dyDescent="0.2">
      <c r="B155" s="76"/>
      <c r="C155" s="191"/>
      <c r="D155" s="189"/>
      <c r="E155" s="191"/>
      <c r="F155" s="71"/>
      <c r="G155" s="191"/>
      <c r="H155" s="191"/>
      <c r="I155" s="71"/>
      <c r="J155" s="71"/>
      <c r="K155" s="71"/>
      <c r="L155" s="71"/>
      <c r="M155" s="71"/>
      <c r="N155" s="71"/>
      <c r="O155" s="191"/>
      <c r="P155" s="78"/>
      <c r="Q155" s="110"/>
      <c r="R155" s="110"/>
    </row>
    <row r="156" spans="2:18" x14ac:dyDescent="0.2">
      <c r="B156" s="76"/>
      <c r="C156" s="191"/>
      <c r="D156" s="199" t="s">
        <v>549</v>
      </c>
      <c r="E156" s="191"/>
      <c r="F156" s="71"/>
      <c r="G156" s="191"/>
      <c r="H156" s="66" t="str">
        <f>tab!D$2</f>
        <v>2014/15</v>
      </c>
      <c r="I156" s="66" t="str">
        <f>tab!E$2</f>
        <v>2015/16</v>
      </c>
      <c r="J156" s="66" t="str">
        <f>tab!F$2</f>
        <v>2016/17</v>
      </c>
      <c r="K156" s="66" t="str">
        <f>tab!G$2</f>
        <v>2017/18</v>
      </c>
      <c r="L156" s="66" t="str">
        <f>tab!H$2</f>
        <v>2018/19</v>
      </c>
      <c r="M156" s="66" t="str">
        <f>tab!I$2</f>
        <v>2019/20</v>
      </c>
      <c r="N156" s="66" t="str">
        <f>tab!J$2</f>
        <v>2020/21</v>
      </c>
      <c r="O156" s="191"/>
      <c r="P156" s="78"/>
      <c r="Q156" s="110"/>
      <c r="R156" s="110"/>
    </row>
    <row r="157" spans="2:18" x14ac:dyDescent="0.2">
      <c r="B157" s="76"/>
      <c r="C157" s="191"/>
      <c r="D157" s="598"/>
      <c r="E157" s="35"/>
      <c r="F157" s="43"/>
      <c r="G157" s="35"/>
      <c r="H157" s="537">
        <v>0</v>
      </c>
      <c r="I157" s="537">
        <f>H157</f>
        <v>0</v>
      </c>
      <c r="J157" s="537">
        <f t="shared" ref="J157:N157" si="76">I157</f>
        <v>0</v>
      </c>
      <c r="K157" s="537">
        <f t="shared" si="76"/>
        <v>0</v>
      </c>
      <c r="L157" s="537">
        <f t="shared" si="76"/>
        <v>0</v>
      </c>
      <c r="M157" s="537">
        <f t="shared" si="76"/>
        <v>0</v>
      </c>
      <c r="N157" s="537">
        <f t="shared" si="76"/>
        <v>0</v>
      </c>
      <c r="O157" s="191"/>
      <c r="P157" s="78"/>
      <c r="Q157" s="110"/>
      <c r="R157" s="110"/>
    </row>
    <row r="158" spans="2:18" x14ac:dyDescent="0.2">
      <c r="B158" s="76"/>
      <c r="C158" s="191"/>
      <c r="D158" s="598"/>
      <c r="E158" s="35"/>
      <c r="F158" s="43"/>
      <c r="G158" s="35"/>
      <c r="H158" s="537">
        <v>0</v>
      </c>
      <c r="I158" s="537">
        <f t="shared" ref="I158:N158" si="77">H158</f>
        <v>0</v>
      </c>
      <c r="J158" s="537">
        <f t="shared" si="77"/>
        <v>0</v>
      </c>
      <c r="K158" s="537">
        <f t="shared" si="77"/>
        <v>0</v>
      </c>
      <c r="L158" s="537">
        <f t="shared" si="77"/>
        <v>0</v>
      </c>
      <c r="M158" s="537">
        <f t="shared" si="77"/>
        <v>0</v>
      </c>
      <c r="N158" s="537">
        <f t="shared" si="77"/>
        <v>0</v>
      </c>
      <c r="O158" s="191"/>
      <c r="P158" s="78"/>
      <c r="Q158" s="110"/>
      <c r="R158" s="110"/>
    </row>
    <row r="159" spans="2:18" x14ac:dyDescent="0.2">
      <c r="B159" s="76"/>
      <c r="C159" s="191"/>
      <c r="D159" s="598"/>
      <c r="E159" s="35"/>
      <c r="F159" s="43"/>
      <c r="G159" s="35"/>
      <c r="H159" s="537">
        <v>0</v>
      </c>
      <c r="I159" s="537">
        <f t="shared" ref="I159:N159" si="78">H159</f>
        <v>0</v>
      </c>
      <c r="J159" s="537">
        <f t="shared" si="78"/>
        <v>0</v>
      </c>
      <c r="K159" s="537">
        <f t="shared" si="78"/>
        <v>0</v>
      </c>
      <c r="L159" s="537">
        <f t="shared" si="78"/>
        <v>0</v>
      </c>
      <c r="M159" s="537">
        <f t="shared" si="78"/>
        <v>0</v>
      </c>
      <c r="N159" s="537">
        <f t="shared" si="78"/>
        <v>0</v>
      </c>
      <c r="O159" s="191"/>
      <c r="P159" s="78"/>
      <c r="Q159" s="110"/>
      <c r="R159" s="110"/>
    </row>
    <row r="160" spans="2:18" x14ac:dyDescent="0.2">
      <c r="B160" s="76"/>
      <c r="C160" s="191"/>
      <c r="D160" s="590"/>
      <c r="E160" s="35"/>
      <c r="F160" s="43"/>
      <c r="G160" s="35"/>
      <c r="H160" s="537">
        <v>0</v>
      </c>
      <c r="I160" s="537">
        <f t="shared" ref="I160:N160" si="79">H160</f>
        <v>0</v>
      </c>
      <c r="J160" s="537">
        <f t="shared" si="79"/>
        <v>0</v>
      </c>
      <c r="K160" s="537">
        <f t="shared" si="79"/>
        <v>0</v>
      </c>
      <c r="L160" s="537">
        <f t="shared" si="79"/>
        <v>0</v>
      </c>
      <c r="M160" s="537">
        <f t="shared" si="79"/>
        <v>0</v>
      </c>
      <c r="N160" s="537">
        <f t="shared" si="79"/>
        <v>0</v>
      </c>
      <c r="O160" s="222"/>
      <c r="P160" s="78"/>
      <c r="Q160" s="110"/>
      <c r="R160" s="110"/>
    </row>
    <row r="161" spans="2:18" x14ac:dyDescent="0.2">
      <c r="B161" s="76"/>
      <c r="C161" s="191"/>
      <c r="D161" s="590"/>
      <c r="E161" s="35"/>
      <c r="F161" s="43"/>
      <c r="G161" s="35"/>
      <c r="H161" s="537">
        <v>0</v>
      </c>
      <c r="I161" s="537">
        <f t="shared" ref="I161:N161" si="80">H161</f>
        <v>0</v>
      </c>
      <c r="J161" s="537">
        <f t="shared" si="80"/>
        <v>0</v>
      </c>
      <c r="K161" s="537">
        <f t="shared" si="80"/>
        <v>0</v>
      </c>
      <c r="L161" s="537">
        <f t="shared" si="80"/>
        <v>0</v>
      </c>
      <c r="M161" s="537">
        <f t="shared" si="80"/>
        <v>0</v>
      </c>
      <c r="N161" s="537">
        <f t="shared" si="80"/>
        <v>0</v>
      </c>
      <c r="O161" s="222"/>
      <c r="P161" s="78"/>
      <c r="Q161" s="110"/>
      <c r="R161" s="110"/>
    </row>
    <row r="162" spans="2:18" x14ac:dyDescent="0.2">
      <c r="B162" s="76"/>
      <c r="C162" s="191"/>
      <c r="D162" s="35"/>
      <c r="E162" s="35"/>
      <c r="F162" s="186"/>
      <c r="G162" s="35"/>
      <c r="H162" s="546">
        <f t="shared" ref="H162:N162" si="81">SUM(H157:H161)</f>
        <v>0</v>
      </c>
      <c r="I162" s="546">
        <f t="shared" si="81"/>
        <v>0</v>
      </c>
      <c r="J162" s="546">
        <f t="shared" si="81"/>
        <v>0</v>
      </c>
      <c r="K162" s="546">
        <f t="shared" si="81"/>
        <v>0</v>
      </c>
      <c r="L162" s="546">
        <f t="shared" si="81"/>
        <v>0</v>
      </c>
      <c r="M162" s="546">
        <f t="shared" si="81"/>
        <v>0</v>
      </c>
      <c r="N162" s="546">
        <f t="shared" si="81"/>
        <v>0</v>
      </c>
      <c r="O162" s="191"/>
      <c r="P162" s="78"/>
      <c r="Q162" s="110"/>
      <c r="R162" s="110"/>
    </row>
    <row r="163" spans="2:18" x14ac:dyDescent="0.2">
      <c r="B163" s="76"/>
      <c r="C163" s="191"/>
      <c r="D163" s="35"/>
      <c r="E163" s="35"/>
      <c r="F163" s="186"/>
      <c r="G163" s="35"/>
      <c r="H163" s="1640"/>
      <c r="I163" s="1640"/>
      <c r="J163" s="1640"/>
      <c r="K163" s="1640"/>
      <c r="L163" s="1640"/>
      <c r="M163" s="1640"/>
      <c r="N163" s="1640"/>
      <c r="O163" s="191"/>
      <c r="P163" s="78"/>
      <c r="Q163" s="110"/>
      <c r="R163" s="110"/>
    </row>
    <row r="164" spans="2:18" x14ac:dyDescent="0.2">
      <c r="B164" s="76"/>
      <c r="C164" s="191"/>
      <c r="D164" s="199" t="s">
        <v>550</v>
      </c>
      <c r="E164" s="35"/>
      <c r="F164" s="186"/>
      <c r="G164" s="35"/>
      <c r="H164" s="1641">
        <f>tab!E$4</f>
        <v>2015</v>
      </c>
      <c r="I164" s="1641">
        <f>tab!F$4</f>
        <v>2016</v>
      </c>
      <c r="J164" s="1641">
        <f>tab!G$4</f>
        <v>2017</v>
      </c>
      <c r="K164" s="1641">
        <f>tab!H$4</f>
        <v>2018</v>
      </c>
      <c r="L164" s="1641">
        <f>tab!I$4</f>
        <v>2019</v>
      </c>
      <c r="M164" s="1641">
        <f>tab!J$4</f>
        <v>2020</v>
      </c>
      <c r="N164" s="1641">
        <f>tab!K$4</f>
        <v>2021</v>
      </c>
      <c r="O164" s="191"/>
      <c r="P164" s="78"/>
      <c r="Q164" s="110"/>
      <c r="R164" s="110"/>
    </row>
    <row r="165" spans="2:18" x14ac:dyDescent="0.2">
      <c r="B165" s="76"/>
      <c r="C165" s="191"/>
      <c r="D165" s="598"/>
      <c r="E165" s="35"/>
      <c r="F165" s="43"/>
      <c r="G165" s="35"/>
      <c r="H165" s="1665">
        <v>0</v>
      </c>
      <c r="I165" s="1665">
        <v>0</v>
      </c>
      <c r="J165" s="1665">
        <v>0</v>
      </c>
      <c r="K165" s="1665">
        <v>0</v>
      </c>
      <c r="L165" s="1665">
        <v>0</v>
      </c>
      <c r="M165" s="1665">
        <v>0</v>
      </c>
      <c r="N165" s="1665">
        <v>0</v>
      </c>
      <c r="O165" s="191"/>
      <c r="P165" s="78"/>
      <c r="Q165" s="110"/>
      <c r="R165" s="110"/>
    </row>
    <row r="166" spans="2:18" x14ac:dyDescent="0.2">
      <c r="B166" s="76"/>
      <c r="C166" s="191"/>
      <c r="D166" s="590"/>
      <c r="E166" s="35"/>
      <c r="F166" s="43"/>
      <c r="G166" s="35"/>
      <c r="H166" s="1665">
        <v>0</v>
      </c>
      <c r="I166" s="1665">
        <v>0</v>
      </c>
      <c r="J166" s="1665">
        <v>0</v>
      </c>
      <c r="K166" s="1665">
        <v>0</v>
      </c>
      <c r="L166" s="1665">
        <v>0</v>
      </c>
      <c r="M166" s="1665">
        <v>0</v>
      </c>
      <c r="N166" s="1665">
        <v>0</v>
      </c>
      <c r="O166" s="191"/>
      <c r="P166" s="78"/>
      <c r="Q166" s="110"/>
      <c r="R166" s="110"/>
    </row>
    <row r="167" spans="2:18" x14ac:dyDescent="0.2">
      <c r="B167" s="76"/>
      <c r="C167" s="191"/>
      <c r="D167" s="590"/>
      <c r="E167" s="35"/>
      <c r="F167" s="43"/>
      <c r="G167" s="35"/>
      <c r="H167" s="1665">
        <v>0</v>
      </c>
      <c r="I167" s="1665">
        <v>0</v>
      </c>
      <c r="J167" s="1665">
        <v>0</v>
      </c>
      <c r="K167" s="1665">
        <v>0</v>
      </c>
      <c r="L167" s="1665">
        <v>0</v>
      </c>
      <c r="M167" s="1665">
        <v>0</v>
      </c>
      <c r="N167" s="1665">
        <v>0</v>
      </c>
      <c r="O167" s="191"/>
      <c r="P167" s="78"/>
      <c r="Q167" s="110"/>
      <c r="R167" s="110"/>
    </row>
    <row r="168" spans="2:18" x14ac:dyDescent="0.2">
      <c r="B168" s="76"/>
      <c r="C168" s="191"/>
      <c r="D168" s="590"/>
      <c r="E168" s="35"/>
      <c r="F168" s="43"/>
      <c r="G168" s="35"/>
      <c r="H168" s="1665">
        <v>0</v>
      </c>
      <c r="I168" s="1665">
        <v>0</v>
      </c>
      <c r="J168" s="1665">
        <v>0</v>
      </c>
      <c r="K168" s="1665">
        <v>0</v>
      </c>
      <c r="L168" s="1665">
        <v>0</v>
      </c>
      <c r="M168" s="1665">
        <v>0</v>
      </c>
      <c r="N168" s="1665">
        <v>0</v>
      </c>
      <c r="O168" s="191"/>
      <c r="P168" s="78"/>
      <c r="Q168" s="110"/>
      <c r="R168" s="110"/>
    </row>
    <row r="169" spans="2:18" x14ac:dyDescent="0.2">
      <c r="B169" s="76"/>
      <c r="C169" s="191"/>
      <c r="D169" s="590"/>
      <c r="E169" s="35"/>
      <c r="F169" s="43"/>
      <c r="G169" s="35"/>
      <c r="H169" s="1665">
        <v>0</v>
      </c>
      <c r="I169" s="1665">
        <v>0</v>
      </c>
      <c r="J169" s="1665">
        <v>0</v>
      </c>
      <c r="K169" s="1665">
        <v>0</v>
      </c>
      <c r="L169" s="1665">
        <v>0</v>
      </c>
      <c r="M169" s="1665">
        <v>0</v>
      </c>
      <c r="N169" s="1665">
        <v>0</v>
      </c>
      <c r="O169" s="191"/>
      <c r="P169" s="78"/>
      <c r="Q169" s="110"/>
      <c r="R169" s="110"/>
    </row>
    <row r="170" spans="2:18" x14ac:dyDescent="0.2">
      <c r="B170" s="76"/>
      <c r="C170" s="191"/>
      <c r="D170" s="35"/>
      <c r="E170" s="35"/>
      <c r="F170" s="186"/>
      <c r="G170" s="35"/>
      <c r="H170" s="546">
        <f>SUM(H165:H169)</f>
        <v>0</v>
      </c>
      <c r="I170" s="546">
        <f t="shared" ref="I170" si="82">SUM(I165:I169)</f>
        <v>0</v>
      </c>
      <c r="J170" s="546">
        <f t="shared" ref="J170" si="83">SUM(J165:J169)</f>
        <v>0</v>
      </c>
      <c r="K170" s="546">
        <f t="shared" ref="K170" si="84">SUM(K165:K169)</f>
        <v>0</v>
      </c>
      <c r="L170" s="546">
        <f t="shared" ref="L170" si="85">SUM(L165:L169)</f>
        <v>0</v>
      </c>
      <c r="M170" s="546">
        <f t="shared" ref="M170" si="86">SUM(M165:M169)</f>
        <v>0</v>
      </c>
      <c r="N170" s="546">
        <f t="shared" ref="N170" si="87">SUM(N165:N169)</f>
        <v>0</v>
      </c>
      <c r="O170" s="191"/>
      <c r="P170" s="78"/>
      <c r="Q170" s="110"/>
      <c r="R170" s="110"/>
    </row>
    <row r="171" spans="2:18" x14ac:dyDescent="0.2">
      <c r="B171" s="76"/>
      <c r="C171" s="82"/>
      <c r="D171" s="40"/>
      <c r="E171" s="40"/>
      <c r="F171" s="41"/>
      <c r="G171" s="40"/>
      <c r="H171" s="1642"/>
      <c r="I171" s="1642"/>
      <c r="J171" s="1642"/>
      <c r="K171" s="1642"/>
      <c r="L171" s="1642"/>
      <c r="M171" s="1642"/>
      <c r="N171" s="1642"/>
      <c r="O171" s="82"/>
      <c r="P171" s="78"/>
      <c r="Q171" s="110"/>
      <c r="R171" s="110"/>
    </row>
    <row r="172" spans="2:18" x14ac:dyDescent="0.2">
      <c r="B172" s="76"/>
      <c r="C172" s="1646"/>
      <c r="D172" s="1643"/>
      <c r="E172" s="1643"/>
      <c r="F172" s="1644"/>
      <c r="G172" s="1643"/>
      <c r="H172" s="1645"/>
      <c r="I172" s="1645"/>
      <c r="J172" s="1645"/>
      <c r="K172" s="1645"/>
      <c r="L172" s="1645"/>
      <c r="M172" s="1645"/>
      <c r="N172" s="1645"/>
      <c r="O172" s="1647"/>
      <c r="P172" s="78"/>
      <c r="Q172" s="110"/>
      <c r="R172" s="110"/>
    </row>
    <row r="173" spans="2:18" x14ac:dyDescent="0.2">
      <c r="B173" s="76"/>
      <c r="C173" s="191"/>
      <c r="D173" s="199"/>
      <c r="E173" s="191"/>
      <c r="F173" s="71"/>
      <c r="G173" s="191"/>
      <c r="H173" s="191"/>
      <c r="I173" s="71"/>
      <c r="J173" s="71"/>
      <c r="K173" s="71"/>
      <c r="L173" s="71"/>
      <c r="M173" s="71"/>
      <c r="N173" s="71"/>
      <c r="O173" s="191"/>
      <c r="P173" s="78"/>
      <c r="Q173" s="110"/>
      <c r="R173" s="110"/>
    </row>
    <row r="174" spans="2:18" x14ac:dyDescent="0.2">
      <c r="B174" s="76"/>
      <c r="C174" s="191"/>
      <c r="D174" s="1639" t="str">
        <f>pers!D203</f>
        <v>project 9</v>
      </c>
      <c r="E174" s="191"/>
      <c r="F174" s="71"/>
      <c r="G174" s="191"/>
      <c r="H174" s="191"/>
      <c r="I174" s="71"/>
      <c r="J174" s="71"/>
      <c r="K174" s="71"/>
      <c r="L174" s="71"/>
      <c r="M174" s="71"/>
      <c r="N174" s="71"/>
      <c r="O174" s="191"/>
      <c r="P174" s="78"/>
      <c r="Q174" s="110"/>
      <c r="R174" s="110"/>
    </row>
    <row r="175" spans="2:18" x14ac:dyDescent="0.2">
      <c r="B175" s="76"/>
      <c r="C175" s="191"/>
      <c r="D175" s="189"/>
      <c r="E175" s="191"/>
      <c r="F175" s="71"/>
      <c r="G175" s="191"/>
      <c r="H175" s="191"/>
      <c r="I175" s="71"/>
      <c r="J175" s="71"/>
      <c r="K175" s="71"/>
      <c r="L175" s="71"/>
      <c r="M175" s="71"/>
      <c r="N175" s="71"/>
      <c r="O175" s="191"/>
      <c r="P175" s="78"/>
      <c r="Q175" s="110"/>
      <c r="R175" s="110"/>
    </row>
    <row r="176" spans="2:18" x14ac:dyDescent="0.2">
      <c r="B176" s="76"/>
      <c r="C176" s="191"/>
      <c r="D176" s="199" t="s">
        <v>549</v>
      </c>
      <c r="E176" s="191"/>
      <c r="F176" s="71"/>
      <c r="G176" s="191"/>
      <c r="H176" s="66" t="str">
        <f>tab!D$2</f>
        <v>2014/15</v>
      </c>
      <c r="I176" s="66" t="str">
        <f>tab!E$2</f>
        <v>2015/16</v>
      </c>
      <c r="J176" s="66" t="str">
        <f>tab!F$2</f>
        <v>2016/17</v>
      </c>
      <c r="K176" s="66" t="str">
        <f>tab!G$2</f>
        <v>2017/18</v>
      </c>
      <c r="L176" s="66" t="str">
        <f>tab!H$2</f>
        <v>2018/19</v>
      </c>
      <c r="M176" s="66" t="str">
        <f>tab!I$2</f>
        <v>2019/20</v>
      </c>
      <c r="N176" s="66" t="str">
        <f>tab!J$2</f>
        <v>2020/21</v>
      </c>
      <c r="O176" s="191"/>
      <c r="P176" s="78"/>
      <c r="Q176" s="110"/>
      <c r="R176" s="110"/>
    </row>
    <row r="177" spans="2:18" x14ac:dyDescent="0.2">
      <c r="B177" s="76"/>
      <c r="C177" s="191"/>
      <c r="D177" s="598"/>
      <c r="E177" s="35"/>
      <c r="F177" s="43"/>
      <c r="G177" s="35"/>
      <c r="H177" s="537">
        <v>0</v>
      </c>
      <c r="I177" s="537">
        <f>H177</f>
        <v>0</v>
      </c>
      <c r="J177" s="537">
        <f t="shared" ref="J177:N177" si="88">I177</f>
        <v>0</v>
      </c>
      <c r="K177" s="537">
        <f t="shared" si="88"/>
        <v>0</v>
      </c>
      <c r="L177" s="537">
        <f t="shared" si="88"/>
        <v>0</v>
      </c>
      <c r="M177" s="537">
        <f t="shared" si="88"/>
        <v>0</v>
      </c>
      <c r="N177" s="537">
        <f t="shared" si="88"/>
        <v>0</v>
      </c>
      <c r="O177" s="191"/>
      <c r="P177" s="78"/>
      <c r="Q177" s="110"/>
      <c r="R177" s="110"/>
    </row>
    <row r="178" spans="2:18" x14ac:dyDescent="0.2">
      <c r="B178" s="76"/>
      <c r="C178" s="191"/>
      <c r="D178" s="598"/>
      <c r="E178" s="35"/>
      <c r="F178" s="43"/>
      <c r="G178" s="35"/>
      <c r="H178" s="537">
        <v>0</v>
      </c>
      <c r="I178" s="537">
        <f t="shared" ref="I178:N178" si="89">H178</f>
        <v>0</v>
      </c>
      <c r="J178" s="537">
        <f t="shared" si="89"/>
        <v>0</v>
      </c>
      <c r="K178" s="537">
        <f t="shared" si="89"/>
        <v>0</v>
      </c>
      <c r="L178" s="537">
        <f t="shared" si="89"/>
        <v>0</v>
      </c>
      <c r="M178" s="537">
        <f t="shared" si="89"/>
        <v>0</v>
      </c>
      <c r="N178" s="537">
        <f t="shared" si="89"/>
        <v>0</v>
      </c>
      <c r="O178" s="191"/>
      <c r="P178" s="78"/>
      <c r="Q178" s="110"/>
      <c r="R178" s="110"/>
    </row>
    <row r="179" spans="2:18" x14ac:dyDescent="0.2">
      <c r="B179" s="76"/>
      <c r="C179" s="191"/>
      <c r="D179" s="598"/>
      <c r="E179" s="35"/>
      <c r="F179" s="43"/>
      <c r="G179" s="35"/>
      <c r="H179" s="537">
        <v>0</v>
      </c>
      <c r="I179" s="537">
        <f t="shared" ref="I179:N179" si="90">H179</f>
        <v>0</v>
      </c>
      <c r="J179" s="537">
        <f t="shared" si="90"/>
        <v>0</v>
      </c>
      <c r="K179" s="537">
        <f t="shared" si="90"/>
        <v>0</v>
      </c>
      <c r="L179" s="537">
        <f t="shared" si="90"/>
        <v>0</v>
      </c>
      <c r="M179" s="537">
        <f t="shared" si="90"/>
        <v>0</v>
      </c>
      <c r="N179" s="537">
        <f t="shared" si="90"/>
        <v>0</v>
      </c>
      <c r="O179" s="191"/>
      <c r="P179" s="78"/>
      <c r="Q179" s="110"/>
      <c r="R179" s="110"/>
    </row>
    <row r="180" spans="2:18" x14ac:dyDescent="0.2">
      <c r="B180" s="76"/>
      <c r="C180" s="191"/>
      <c r="D180" s="598"/>
      <c r="E180" s="35"/>
      <c r="F180" s="43"/>
      <c r="G180" s="35"/>
      <c r="H180" s="537">
        <v>0</v>
      </c>
      <c r="I180" s="537">
        <f t="shared" ref="I180:N180" si="91">H180</f>
        <v>0</v>
      </c>
      <c r="J180" s="537">
        <f t="shared" si="91"/>
        <v>0</v>
      </c>
      <c r="K180" s="537">
        <f t="shared" si="91"/>
        <v>0</v>
      </c>
      <c r="L180" s="537">
        <f t="shared" si="91"/>
        <v>0</v>
      </c>
      <c r="M180" s="537">
        <f t="shared" si="91"/>
        <v>0</v>
      </c>
      <c r="N180" s="537">
        <f t="shared" si="91"/>
        <v>0</v>
      </c>
      <c r="O180" s="222"/>
      <c r="P180" s="78"/>
      <c r="Q180" s="110"/>
      <c r="R180" s="110"/>
    </row>
    <row r="181" spans="2:18" x14ac:dyDescent="0.2">
      <c r="B181" s="76"/>
      <c r="C181" s="191"/>
      <c r="D181" s="590"/>
      <c r="E181" s="35"/>
      <c r="F181" s="43"/>
      <c r="G181" s="35"/>
      <c r="H181" s="537">
        <v>0</v>
      </c>
      <c r="I181" s="537">
        <f t="shared" ref="I181:N181" si="92">H181</f>
        <v>0</v>
      </c>
      <c r="J181" s="537">
        <f t="shared" si="92"/>
        <v>0</v>
      </c>
      <c r="K181" s="537">
        <f t="shared" si="92"/>
        <v>0</v>
      </c>
      <c r="L181" s="537">
        <f t="shared" si="92"/>
        <v>0</v>
      </c>
      <c r="M181" s="537">
        <f t="shared" si="92"/>
        <v>0</v>
      </c>
      <c r="N181" s="537">
        <f t="shared" si="92"/>
        <v>0</v>
      </c>
      <c r="O181" s="222"/>
      <c r="P181" s="78"/>
      <c r="Q181" s="110"/>
      <c r="R181" s="110"/>
    </row>
    <row r="182" spans="2:18" x14ac:dyDescent="0.2">
      <c r="B182" s="76"/>
      <c r="C182" s="191"/>
      <c r="D182" s="35"/>
      <c r="E182" s="35"/>
      <c r="F182" s="186"/>
      <c r="G182" s="35"/>
      <c r="H182" s="546">
        <f t="shared" ref="H182:N182" si="93">SUM(H177:H181)</f>
        <v>0</v>
      </c>
      <c r="I182" s="546">
        <f t="shared" si="93"/>
        <v>0</v>
      </c>
      <c r="J182" s="546">
        <f t="shared" si="93"/>
        <v>0</v>
      </c>
      <c r="K182" s="546">
        <f t="shared" si="93"/>
        <v>0</v>
      </c>
      <c r="L182" s="546">
        <f t="shared" si="93"/>
        <v>0</v>
      </c>
      <c r="M182" s="546">
        <f t="shared" si="93"/>
        <v>0</v>
      </c>
      <c r="N182" s="546">
        <f t="shared" si="93"/>
        <v>0</v>
      </c>
      <c r="O182" s="191"/>
      <c r="P182" s="78"/>
      <c r="Q182" s="110"/>
      <c r="R182" s="110"/>
    </row>
    <row r="183" spans="2:18" x14ac:dyDescent="0.2">
      <c r="B183" s="76"/>
      <c r="C183" s="191"/>
      <c r="D183" s="35"/>
      <c r="E183" s="35"/>
      <c r="F183" s="186"/>
      <c r="G183" s="35"/>
      <c r="H183" s="1640"/>
      <c r="I183" s="1640"/>
      <c r="J183" s="1640"/>
      <c r="K183" s="1640"/>
      <c r="L183" s="1640"/>
      <c r="M183" s="1640"/>
      <c r="N183" s="1640"/>
      <c r="O183" s="191"/>
      <c r="P183" s="78"/>
      <c r="Q183" s="110"/>
      <c r="R183" s="110"/>
    </row>
    <row r="184" spans="2:18" x14ac:dyDescent="0.2">
      <c r="B184" s="76"/>
      <c r="C184" s="191"/>
      <c r="D184" s="199" t="s">
        <v>550</v>
      </c>
      <c r="E184" s="35"/>
      <c r="F184" s="186"/>
      <c r="G184" s="35"/>
      <c r="H184" s="1641">
        <f>tab!E$4</f>
        <v>2015</v>
      </c>
      <c r="I184" s="1641">
        <f>tab!F$4</f>
        <v>2016</v>
      </c>
      <c r="J184" s="1641">
        <f>tab!G$4</f>
        <v>2017</v>
      </c>
      <c r="K184" s="1641">
        <f>tab!H$4</f>
        <v>2018</v>
      </c>
      <c r="L184" s="1641">
        <f>tab!I$4</f>
        <v>2019</v>
      </c>
      <c r="M184" s="1641">
        <f>tab!J$4</f>
        <v>2020</v>
      </c>
      <c r="N184" s="1641">
        <f>tab!K$4</f>
        <v>2021</v>
      </c>
      <c r="O184" s="191"/>
      <c r="P184" s="78"/>
      <c r="Q184" s="110"/>
      <c r="R184" s="110"/>
    </row>
    <row r="185" spans="2:18" x14ac:dyDescent="0.2">
      <c r="B185" s="76"/>
      <c r="C185" s="191"/>
      <c r="D185" s="598"/>
      <c r="E185" s="35"/>
      <c r="F185" s="43"/>
      <c r="G185" s="35"/>
      <c r="H185" s="1665">
        <v>0</v>
      </c>
      <c r="I185" s="1665">
        <v>0</v>
      </c>
      <c r="J185" s="1665">
        <v>0</v>
      </c>
      <c r="K185" s="1665">
        <v>0</v>
      </c>
      <c r="L185" s="1665">
        <v>0</v>
      </c>
      <c r="M185" s="1665">
        <v>0</v>
      </c>
      <c r="N185" s="1665">
        <v>0</v>
      </c>
      <c r="O185" s="191"/>
      <c r="P185" s="78"/>
      <c r="Q185" s="110"/>
      <c r="R185" s="110"/>
    </row>
    <row r="186" spans="2:18" x14ac:dyDescent="0.2">
      <c r="B186" s="76"/>
      <c r="C186" s="191"/>
      <c r="D186" s="590"/>
      <c r="E186" s="35"/>
      <c r="F186" s="43"/>
      <c r="G186" s="35"/>
      <c r="H186" s="1665">
        <v>0</v>
      </c>
      <c r="I186" s="1665">
        <v>0</v>
      </c>
      <c r="J186" s="1665">
        <v>0</v>
      </c>
      <c r="K186" s="1665">
        <v>0</v>
      </c>
      <c r="L186" s="1665">
        <v>0</v>
      </c>
      <c r="M186" s="1665">
        <v>0</v>
      </c>
      <c r="N186" s="1665">
        <v>0</v>
      </c>
      <c r="O186" s="191"/>
      <c r="P186" s="78"/>
      <c r="Q186" s="110"/>
      <c r="R186" s="110"/>
    </row>
    <row r="187" spans="2:18" x14ac:dyDescent="0.2">
      <c r="B187" s="76"/>
      <c r="C187" s="191"/>
      <c r="D187" s="590"/>
      <c r="E187" s="35"/>
      <c r="F187" s="43"/>
      <c r="G187" s="35"/>
      <c r="H187" s="1665">
        <v>0</v>
      </c>
      <c r="I187" s="1665">
        <v>0</v>
      </c>
      <c r="J187" s="1665">
        <v>0</v>
      </c>
      <c r="K187" s="1665">
        <v>0</v>
      </c>
      <c r="L187" s="1665">
        <v>0</v>
      </c>
      <c r="M187" s="1665">
        <v>0</v>
      </c>
      <c r="N187" s="1665">
        <v>0</v>
      </c>
      <c r="O187" s="191"/>
      <c r="P187" s="78"/>
      <c r="Q187" s="110"/>
      <c r="R187" s="110"/>
    </row>
    <row r="188" spans="2:18" x14ac:dyDescent="0.2">
      <c r="B188" s="76"/>
      <c r="C188" s="191"/>
      <c r="D188" s="590"/>
      <c r="E188" s="35"/>
      <c r="F188" s="43"/>
      <c r="G188" s="35"/>
      <c r="H188" s="1665">
        <v>0</v>
      </c>
      <c r="I188" s="1665">
        <v>0</v>
      </c>
      <c r="J188" s="1665">
        <v>0</v>
      </c>
      <c r="K188" s="1665">
        <v>0</v>
      </c>
      <c r="L188" s="1665">
        <v>0</v>
      </c>
      <c r="M188" s="1665">
        <v>0</v>
      </c>
      <c r="N188" s="1665">
        <v>0</v>
      </c>
      <c r="O188" s="191"/>
      <c r="P188" s="78"/>
      <c r="Q188" s="110"/>
      <c r="R188" s="110"/>
    </row>
    <row r="189" spans="2:18" x14ac:dyDescent="0.2">
      <c r="B189" s="76"/>
      <c r="C189" s="191"/>
      <c r="D189" s="590"/>
      <c r="E189" s="35"/>
      <c r="F189" s="43"/>
      <c r="G189" s="35"/>
      <c r="H189" s="1665">
        <v>0</v>
      </c>
      <c r="I189" s="1665">
        <v>0</v>
      </c>
      <c r="J189" s="1665">
        <v>0</v>
      </c>
      <c r="K189" s="1665">
        <v>0</v>
      </c>
      <c r="L189" s="1665">
        <v>0</v>
      </c>
      <c r="M189" s="1665">
        <v>0</v>
      </c>
      <c r="N189" s="1665">
        <v>0</v>
      </c>
      <c r="O189" s="191"/>
      <c r="P189" s="78"/>
      <c r="Q189" s="110"/>
      <c r="R189" s="110"/>
    </row>
    <row r="190" spans="2:18" x14ac:dyDescent="0.2">
      <c r="B190" s="679"/>
      <c r="C190" s="191"/>
      <c r="D190" s="35"/>
      <c r="E190" s="35"/>
      <c r="F190" s="186"/>
      <c r="G190" s="35"/>
      <c r="H190" s="546">
        <f>SUM(H185:H189)</f>
        <v>0</v>
      </c>
      <c r="I190" s="546">
        <f t="shared" ref="I190" si="94">SUM(I185:I189)</f>
        <v>0</v>
      </c>
      <c r="J190" s="546">
        <f t="shared" ref="J190" si="95">SUM(J185:J189)</f>
        <v>0</v>
      </c>
      <c r="K190" s="546">
        <f t="shared" ref="K190" si="96">SUM(K185:K189)</f>
        <v>0</v>
      </c>
      <c r="L190" s="546">
        <f t="shared" ref="L190" si="97">SUM(L185:L189)</f>
        <v>0</v>
      </c>
      <c r="M190" s="546">
        <f t="shared" ref="M190" si="98">SUM(M185:M189)</f>
        <v>0</v>
      </c>
      <c r="N190" s="546">
        <f t="shared" ref="N190" si="99">SUM(N185:N189)</f>
        <v>0</v>
      </c>
      <c r="O190" s="191"/>
      <c r="P190" s="945"/>
      <c r="Q190" s="110"/>
      <c r="R190" s="110"/>
    </row>
    <row r="191" spans="2:18" s="874" customFormat="1" x14ac:dyDescent="0.2">
      <c r="B191" s="679"/>
      <c r="C191" s="82"/>
      <c r="D191" s="40"/>
      <c r="E191" s="40"/>
      <c r="F191" s="41"/>
      <c r="G191" s="40"/>
      <c r="H191" s="1642"/>
      <c r="I191" s="1642"/>
      <c r="J191" s="1642"/>
      <c r="K191" s="1642"/>
      <c r="L191" s="1642"/>
      <c r="M191" s="1642"/>
      <c r="N191" s="1642"/>
      <c r="O191" s="82"/>
      <c r="P191" s="1601"/>
    </row>
    <row r="192" spans="2:18" s="874" customFormat="1" x14ac:dyDescent="0.2">
      <c r="B192" s="679"/>
      <c r="C192" s="1646"/>
      <c r="D192" s="1643"/>
      <c r="E192" s="1643"/>
      <c r="F192" s="1644"/>
      <c r="G192" s="1643"/>
      <c r="H192" s="1645"/>
      <c r="I192" s="1645"/>
      <c r="J192" s="1645"/>
      <c r="K192" s="1645"/>
      <c r="L192" s="1645"/>
      <c r="M192" s="1645"/>
      <c r="N192" s="1645"/>
      <c r="O192" s="1647"/>
      <c r="P192" s="1601"/>
    </row>
    <row r="193" spans="2:16" s="874" customFormat="1" x14ac:dyDescent="0.2">
      <c r="B193" s="679"/>
      <c r="C193" s="191"/>
      <c r="D193" s="199"/>
      <c r="E193" s="191"/>
      <c r="F193" s="71"/>
      <c r="G193" s="191"/>
      <c r="H193" s="191"/>
      <c r="I193" s="71"/>
      <c r="J193" s="71"/>
      <c r="K193" s="71"/>
      <c r="L193" s="71"/>
      <c r="M193" s="71"/>
      <c r="N193" s="71"/>
      <c r="O193" s="191"/>
      <c r="P193" s="1601"/>
    </row>
    <row r="194" spans="2:16" s="874" customFormat="1" x14ac:dyDescent="0.2">
      <c r="B194" s="679"/>
      <c r="C194" s="191"/>
      <c r="D194" s="1639" t="str">
        <f>pers!D204</f>
        <v>project 10</v>
      </c>
      <c r="E194" s="191"/>
      <c r="F194" s="71"/>
      <c r="G194" s="191"/>
      <c r="H194" s="191"/>
      <c r="I194" s="71"/>
      <c r="J194" s="71"/>
      <c r="K194" s="71"/>
      <c r="L194" s="71"/>
      <c r="M194" s="71"/>
      <c r="N194" s="71"/>
      <c r="O194" s="191"/>
      <c r="P194" s="1601"/>
    </row>
    <row r="195" spans="2:16" s="874" customFormat="1" x14ac:dyDescent="0.2">
      <c r="B195" s="679"/>
      <c r="C195" s="191"/>
      <c r="D195" s="189"/>
      <c r="E195" s="191"/>
      <c r="F195" s="71"/>
      <c r="G195" s="191"/>
      <c r="H195" s="191"/>
      <c r="I195" s="71"/>
      <c r="J195" s="71"/>
      <c r="K195" s="71"/>
      <c r="L195" s="71"/>
      <c r="M195" s="71"/>
      <c r="N195" s="71"/>
      <c r="O195" s="191"/>
      <c r="P195" s="1601"/>
    </row>
    <row r="196" spans="2:16" s="874" customFormat="1" x14ac:dyDescent="0.2">
      <c r="B196" s="679"/>
      <c r="C196" s="191"/>
      <c r="D196" s="199" t="s">
        <v>549</v>
      </c>
      <c r="E196" s="191"/>
      <c r="F196" s="71"/>
      <c r="G196" s="191"/>
      <c r="H196" s="66" t="str">
        <f>tab!D$2</f>
        <v>2014/15</v>
      </c>
      <c r="I196" s="66" t="str">
        <f>tab!E$2</f>
        <v>2015/16</v>
      </c>
      <c r="J196" s="66" t="str">
        <f>tab!F$2</f>
        <v>2016/17</v>
      </c>
      <c r="K196" s="66" t="str">
        <f>tab!G$2</f>
        <v>2017/18</v>
      </c>
      <c r="L196" s="66" t="str">
        <f>tab!H$2</f>
        <v>2018/19</v>
      </c>
      <c r="M196" s="66" t="str">
        <f>tab!I$2</f>
        <v>2019/20</v>
      </c>
      <c r="N196" s="66" t="str">
        <f>tab!J$2</f>
        <v>2020/21</v>
      </c>
      <c r="O196" s="191"/>
      <c r="P196" s="1601"/>
    </row>
    <row r="197" spans="2:16" s="874" customFormat="1" x14ac:dyDescent="0.2">
      <c r="B197" s="679"/>
      <c r="C197" s="191"/>
      <c r="D197" s="598"/>
      <c r="E197" s="35"/>
      <c r="F197" s="43"/>
      <c r="G197" s="35"/>
      <c r="H197" s="537">
        <v>0</v>
      </c>
      <c r="I197" s="537">
        <f>H197</f>
        <v>0</v>
      </c>
      <c r="J197" s="537">
        <f t="shared" ref="J197:N197" si="100">I197</f>
        <v>0</v>
      </c>
      <c r="K197" s="537">
        <f t="shared" si="100"/>
        <v>0</v>
      </c>
      <c r="L197" s="537">
        <f t="shared" si="100"/>
        <v>0</v>
      </c>
      <c r="M197" s="537">
        <f t="shared" si="100"/>
        <v>0</v>
      </c>
      <c r="N197" s="537">
        <f t="shared" si="100"/>
        <v>0</v>
      </c>
      <c r="O197" s="191"/>
      <c r="P197" s="1601"/>
    </row>
    <row r="198" spans="2:16" s="874" customFormat="1" x14ac:dyDescent="0.2">
      <c r="B198" s="679"/>
      <c r="C198" s="191"/>
      <c r="D198" s="598"/>
      <c r="E198" s="35"/>
      <c r="F198" s="43"/>
      <c r="G198" s="35"/>
      <c r="H198" s="537">
        <v>0</v>
      </c>
      <c r="I198" s="537">
        <f t="shared" ref="I198:N198" si="101">H198</f>
        <v>0</v>
      </c>
      <c r="J198" s="537">
        <f t="shared" si="101"/>
        <v>0</v>
      </c>
      <c r="K198" s="537">
        <f t="shared" si="101"/>
        <v>0</v>
      </c>
      <c r="L198" s="537">
        <f t="shared" si="101"/>
        <v>0</v>
      </c>
      <c r="M198" s="537">
        <f t="shared" si="101"/>
        <v>0</v>
      </c>
      <c r="N198" s="537">
        <f t="shared" si="101"/>
        <v>0</v>
      </c>
      <c r="O198" s="191"/>
      <c r="P198" s="1601"/>
    </row>
    <row r="199" spans="2:16" s="874" customFormat="1" x14ac:dyDescent="0.2">
      <c r="B199" s="679"/>
      <c r="C199" s="191"/>
      <c r="D199" s="598"/>
      <c r="E199" s="35"/>
      <c r="F199" s="43"/>
      <c r="G199" s="35"/>
      <c r="H199" s="537">
        <v>0</v>
      </c>
      <c r="I199" s="537">
        <f t="shared" ref="I199:N199" si="102">H199</f>
        <v>0</v>
      </c>
      <c r="J199" s="537">
        <f t="shared" si="102"/>
        <v>0</v>
      </c>
      <c r="K199" s="537">
        <f t="shared" si="102"/>
        <v>0</v>
      </c>
      <c r="L199" s="537">
        <f t="shared" si="102"/>
        <v>0</v>
      </c>
      <c r="M199" s="537">
        <f t="shared" si="102"/>
        <v>0</v>
      </c>
      <c r="N199" s="537">
        <f t="shared" si="102"/>
        <v>0</v>
      </c>
      <c r="O199" s="191"/>
      <c r="P199" s="1601"/>
    </row>
    <row r="200" spans="2:16" s="874" customFormat="1" x14ac:dyDescent="0.2">
      <c r="B200" s="679"/>
      <c r="C200" s="191"/>
      <c r="D200" s="598"/>
      <c r="E200" s="35"/>
      <c r="F200" s="43"/>
      <c r="G200" s="35"/>
      <c r="H200" s="537">
        <v>0</v>
      </c>
      <c r="I200" s="537">
        <f t="shared" ref="I200:N200" si="103">H200</f>
        <v>0</v>
      </c>
      <c r="J200" s="537">
        <f t="shared" si="103"/>
        <v>0</v>
      </c>
      <c r="K200" s="537">
        <f t="shared" si="103"/>
        <v>0</v>
      </c>
      <c r="L200" s="537">
        <f t="shared" si="103"/>
        <v>0</v>
      </c>
      <c r="M200" s="537">
        <f t="shared" si="103"/>
        <v>0</v>
      </c>
      <c r="N200" s="537">
        <f t="shared" si="103"/>
        <v>0</v>
      </c>
      <c r="O200" s="222"/>
      <c r="P200" s="1601"/>
    </row>
    <row r="201" spans="2:16" s="874" customFormat="1" x14ac:dyDescent="0.2">
      <c r="B201" s="679"/>
      <c r="C201" s="191"/>
      <c r="D201" s="590"/>
      <c r="E201" s="35"/>
      <c r="F201" s="43"/>
      <c r="G201" s="35"/>
      <c r="H201" s="537">
        <v>0</v>
      </c>
      <c r="I201" s="537">
        <f t="shared" ref="I201:N201" si="104">H201</f>
        <v>0</v>
      </c>
      <c r="J201" s="537">
        <f t="shared" si="104"/>
        <v>0</v>
      </c>
      <c r="K201" s="537">
        <f t="shared" si="104"/>
        <v>0</v>
      </c>
      <c r="L201" s="537">
        <f t="shared" si="104"/>
        <v>0</v>
      </c>
      <c r="M201" s="537">
        <f t="shared" si="104"/>
        <v>0</v>
      </c>
      <c r="N201" s="537">
        <f t="shared" si="104"/>
        <v>0</v>
      </c>
      <c r="O201" s="222"/>
      <c r="P201" s="1601"/>
    </row>
    <row r="202" spans="2:16" s="874" customFormat="1" x14ac:dyDescent="0.2">
      <c r="B202" s="679"/>
      <c r="C202" s="191"/>
      <c r="D202" s="35"/>
      <c r="E202" s="35"/>
      <c r="F202" s="186"/>
      <c r="G202" s="35"/>
      <c r="H202" s="546">
        <f t="shared" ref="H202:N202" si="105">SUM(H197:H201)</f>
        <v>0</v>
      </c>
      <c r="I202" s="546">
        <f t="shared" si="105"/>
        <v>0</v>
      </c>
      <c r="J202" s="546">
        <f t="shared" si="105"/>
        <v>0</v>
      </c>
      <c r="K202" s="546">
        <f t="shared" si="105"/>
        <v>0</v>
      </c>
      <c r="L202" s="546">
        <f t="shared" si="105"/>
        <v>0</v>
      </c>
      <c r="M202" s="546">
        <f t="shared" si="105"/>
        <v>0</v>
      </c>
      <c r="N202" s="546">
        <f t="shared" si="105"/>
        <v>0</v>
      </c>
      <c r="O202" s="191"/>
      <c r="P202" s="1601"/>
    </row>
    <row r="203" spans="2:16" s="874" customFormat="1" x14ac:dyDescent="0.2">
      <c r="B203" s="679"/>
      <c r="C203" s="191"/>
      <c r="D203" s="35"/>
      <c r="E203" s="35"/>
      <c r="F203" s="186"/>
      <c r="G203" s="35"/>
      <c r="H203" s="1640"/>
      <c r="I203" s="1640"/>
      <c r="J203" s="1640"/>
      <c r="K203" s="1640"/>
      <c r="L203" s="1640"/>
      <c r="M203" s="1640"/>
      <c r="N203" s="1640"/>
      <c r="O203" s="191"/>
      <c r="P203" s="1601"/>
    </row>
    <row r="204" spans="2:16" s="874" customFormat="1" x14ac:dyDescent="0.2">
      <c r="B204" s="679"/>
      <c r="C204" s="191"/>
      <c r="D204" s="199" t="s">
        <v>550</v>
      </c>
      <c r="E204" s="35"/>
      <c r="F204" s="186"/>
      <c r="G204" s="35"/>
      <c r="H204" s="1641">
        <f>tab!E$4</f>
        <v>2015</v>
      </c>
      <c r="I204" s="1641">
        <f>tab!F$4</f>
        <v>2016</v>
      </c>
      <c r="J204" s="1641">
        <f>tab!G$4</f>
        <v>2017</v>
      </c>
      <c r="K204" s="1641">
        <f>tab!H$4</f>
        <v>2018</v>
      </c>
      <c r="L204" s="1641">
        <f>tab!I$4</f>
        <v>2019</v>
      </c>
      <c r="M204" s="1641">
        <f>tab!J$4</f>
        <v>2020</v>
      </c>
      <c r="N204" s="1641">
        <f>tab!K$4</f>
        <v>2021</v>
      </c>
      <c r="O204" s="191"/>
      <c r="P204" s="1601"/>
    </row>
    <row r="205" spans="2:16" s="874" customFormat="1" x14ac:dyDescent="0.2">
      <c r="B205" s="679"/>
      <c r="C205" s="191"/>
      <c r="D205" s="598"/>
      <c r="E205" s="35"/>
      <c r="F205" s="43"/>
      <c r="G205" s="35"/>
      <c r="H205" s="1665">
        <v>0</v>
      </c>
      <c r="I205" s="1665">
        <v>0</v>
      </c>
      <c r="J205" s="1665">
        <v>0</v>
      </c>
      <c r="K205" s="1665">
        <v>0</v>
      </c>
      <c r="L205" s="1665">
        <v>0</v>
      </c>
      <c r="M205" s="1665">
        <v>0</v>
      </c>
      <c r="N205" s="1665">
        <v>0</v>
      </c>
      <c r="O205" s="191"/>
      <c r="P205" s="1601"/>
    </row>
    <row r="206" spans="2:16" s="874" customFormat="1" x14ac:dyDescent="0.2">
      <c r="B206" s="679"/>
      <c r="C206" s="191"/>
      <c r="D206" s="590"/>
      <c r="E206" s="35"/>
      <c r="F206" s="43"/>
      <c r="G206" s="35"/>
      <c r="H206" s="1665">
        <v>0</v>
      </c>
      <c r="I206" s="1665">
        <v>0</v>
      </c>
      <c r="J206" s="1665">
        <v>0</v>
      </c>
      <c r="K206" s="1665">
        <v>0</v>
      </c>
      <c r="L206" s="1665">
        <v>0</v>
      </c>
      <c r="M206" s="1665">
        <v>0</v>
      </c>
      <c r="N206" s="1665">
        <v>0</v>
      </c>
      <c r="O206" s="191"/>
      <c r="P206" s="1601"/>
    </row>
    <row r="207" spans="2:16" s="874" customFormat="1" x14ac:dyDescent="0.2">
      <c r="B207" s="679"/>
      <c r="C207" s="191"/>
      <c r="D207" s="590"/>
      <c r="E207" s="35"/>
      <c r="F207" s="43"/>
      <c r="G207" s="35"/>
      <c r="H207" s="1665">
        <v>0</v>
      </c>
      <c r="I207" s="1665">
        <v>0</v>
      </c>
      <c r="J207" s="1665">
        <v>0</v>
      </c>
      <c r="K207" s="1665">
        <v>0</v>
      </c>
      <c r="L207" s="1665">
        <v>0</v>
      </c>
      <c r="M207" s="1665">
        <v>0</v>
      </c>
      <c r="N207" s="1665">
        <v>0</v>
      </c>
      <c r="O207" s="191"/>
      <c r="P207" s="1601"/>
    </row>
    <row r="208" spans="2:16" s="874" customFormat="1" x14ac:dyDescent="0.2">
      <c r="B208" s="679"/>
      <c r="C208" s="191"/>
      <c r="D208" s="590"/>
      <c r="E208" s="35"/>
      <c r="F208" s="43"/>
      <c r="G208" s="35"/>
      <c r="H208" s="1665">
        <v>0</v>
      </c>
      <c r="I208" s="1665">
        <v>0</v>
      </c>
      <c r="J208" s="1665">
        <v>0</v>
      </c>
      <c r="K208" s="1665">
        <v>0</v>
      </c>
      <c r="L208" s="1665">
        <v>0</v>
      </c>
      <c r="M208" s="1665">
        <v>0</v>
      </c>
      <c r="N208" s="1665">
        <v>0</v>
      </c>
      <c r="O208" s="191"/>
      <c r="P208" s="1601"/>
    </row>
    <row r="209" spans="2:16" s="874" customFormat="1" x14ac:dyDescent="0.2">
      <c r="B209" s="679"/>
      <c r="C209" s="191"/>
      <c r="D209" s="590"/>
      <c r="E209" s="35"/>
      <c r="F209" s="43"/>
      <c r="G209" s="35"/>
      <c r="H209" s="1665">
        <v>0</v>
      </c>
      <c r="I209" s="1665">
        <v>0</v>
      </c>
      <c r="J209" s="1665">
        <v>0</v>
      </c>
      <c r="K209" s="1665">
        <v>0</v>
      </c>
      <c r="L209" s="1665">
        <v>0</v>
      </c>
      <c r="M209" s="1665">
        <v>0</v>
      </c>
      <c r="N209" s="1665">
        <v>0</v>
      </c>
      <c r="O209" s="191"/>
      <c r="P209" s="1601"/>
    </row>
    <row r="210" spans="2:16" s="874" customFormat="1" x14ac:dyDescent="0.2">
      <c r="B210" s="679"/>
      <c r="C210" s="191"/>
      <c r="D210" s="35"/>
      <c r="E210" s="35"/>
      <c r="F210" s="186"/>
      <c r="G210" s="35"/>
      <c r="H210" s="1681">
        <f>SUM(H205:H209)</f>
        <v>0</v>
      </c>
      <c r="I210" s="1681">
        <f t="shared" ref="I210" si="106">SUM(I205:I209)</f>
        <v>0</v>
      </c>
      <c r="J210" s="546">
        <f t="shared" ref="J210" si="107">SUM(J205:J209)</f>
        <v>0</v>
      </c>
      <c r="K210" s="546">
        <f t="shared" ref="K210" si="108">SUM(K205:K209)</f>
        <v>0</v>
      </c>
      <c r="L210" s="546">
        <f t="shared" ref="L210" si="109">SUM(L205:L209)</f>
        <v>0</v>
      </c>
      <c r="M210" s="546">
        <f t="shared" ref="M210" si="110">SUM(M205:M209)</f>
        <v>0</v>
      </c>
      <c r="N210" s="546">
        <f t="shared" ref="N210" si="111">SUM(N205:N209)</f>
        <v>0</v>
      </c>
      <c r="O210" s="191"/>
      <c r="P210" s="1601"/>
    </row>
    <row r="211" spans="2:16" s="874" customFormat="1" x14ac:dyDescent="0.2">
      <c r="B211" s="679"/>
      <c r="C211" s="82"/>
      <c r="D211" s="40"/>
      <c r="E211" s="40"/>
      <c r="F211" s="41"/>
      <c r="G211" s="40"/>
      <c r="H211" s="1642"/>
      <c r="I211" s="1642"/>
      <c r="J211" s="1642"/>
      <c r="K211" s="1642"/>
      <c r="L211" s="1642"/>
      <c r="M211" s="1642"/>
      <c r="N211" s="1642"/>
      <c r="O211" s="82"/>
      <c r="P211" s="1601"/>
    </row>
    <row r="212" spans="2:16" s="874" customFormat="1" x14ac:dyDescent="0.2">
      <c r="B212" s="679"/>
      <c r="C212" s="110"/>
      <c r="D212" s="6"/>
      <c r="E212" s="6"/>
      <c r="F212" s="166"/>
      <c r="G212" s="6"/>
      <c r="H212" s="1678"/>
      <c r="I212" s="1678"/>
      <c r="J212" s="1678"/>
      <c r="K212" s="1678"/>
      <c r="L212" s="1678"/>
      <c r="M212" s="1678"/>
      <c r="N212" s="1678"/>
      <c r="O212" s="110"/>
      <c r="P212" s="1601"/>
    </row>
    <row r="213" spans="2:16" s="874" customFormat="1" x14ac:dyDescent="0.2">
      <c r="B213" s="679"/>
      <c r="C213" s="110"/>
      <c r="D213" s="114"/>
      <c r="E213" s="6"/>
      <c r="F213" s="166"/>
      <c r="G213" s="6"/>
      <c r="H213" s="1678" t="str">
        <f>H196</f>
        <v>2014/15</v>
      </c>
      <c r="I213" s="1678" t="str">
        <f t="shared" ref="I213:N213" si="112">I196</f>
        <v>2015/16</v>
      </c>
      <c r="J213" s="1678" t="str">
        <f t="shared" si="112"/>
        <v>2016/17</v>
      </c>
      <c r="K213" s="1678" t="str">
        <f t="shared" si="112"/>
        <v>2017/18</v>
      </c>
      <c r="L213" s="1678" t="str">
        <f t="shared" si="112"/>
        <v>2018/19</v>
      </c>
      <c r="M213" s="1678" t="str">
        <f t="shared" si="112"/>
        <v>2019/20</v>
      </c>
      <c r="N213" s="1678" t="str">
        <f t="shared" si="112"/>
        <v>2020/21</v>
      </c>
      <c r="O213" s="110"/>
      <c r="P213" s="1601"/>
    </row>
    <row r="214" spans="2:16" s="874" customFormat="1" x14ac:dyDescent="0.2">
      <c r="B214" s="679"/>
      <c r="C214" s="110"/>
      <c r="D214" s="114" t="s">
        <v>980</v>
      </c>
      <c r="E214" s="6"/>
      <c r="F214" s="166"/>
      <c r="G214" s="6"/>
      <c r="H214" s="1682">
        <f>H19+H39+H59+H79+H99+H122+H142+H162+H182+H202</f>
        <v>0</v>
      </c>
      <c r="I214" s="1682">
        <f t="shared" ref="I214:N214" si="113">I19+I39+I59+I79+I99+I122+I142+I162+I182+I202</f>
        <v>0</v>
      </c>
      <c r="J214" s="1682">
        <f t="shared" si="113"/>
        <v>0</v>
      </c>
      <c r="K214" s="1682">
        <f t="shared" si="113"/>
        <v>0</v>
      </c>
      <c r="L214" s="1682">
        <f t="shared" si="113"/>
        <v>0</v>
      </c>
      <c r="M214" s="1682">
        <f t="shared" si="113"/>
        <v>0</v>
      </c>
      <c r="N214" s="1682">
        <f t="shared" si="113"/>
        <v>0</v>
      </c>
      <c r="O214" s="110"/>
      <c r="P214" s="1601"/>
    </row>
    <row r="215" spans="2:16" s="874" customFormat="1" x14ac:dyDescent="0.2">
      <c r="B215" s="679"/>
      <c r="C215" s="110"/>
      <c r="D215" s="114"/>
      <c r="E215" s="6"/>
      <c r="F215" s="166"/>
      <c r="G215" s="6"/>
      <c r="H215" s="1678"/>
      <c r="I215" s="1678"/>
      <c r="J215" s="1678"/>
      <c r="K215" s="1678"/>
      <c r="L215" s="1678"/>
      <c r="M215" s="1678"/>
      <c r="N215" s="1678"/>
      <c r="O215" s="110"/>
      <c r="P215" s="1601"/>
    </row>
    <row r="216" spans="2:16" s="874" customFormat="1" x14ac:dyDescent="0.2">
      <c r="B216" s="679"/>
      <c r="C216" s="110"/>
      <c r="D216" s="114"/>
      <c r="E216" s="6"/>
      <c r="F216" s="166"/>
      <c r="G216" s="6"/>
      <c r="H216" s="1679">
        <f>H204</f>
        <v>2015</v>
      </c>
      <c r="I216" s="1679">
        <f t="shared" ref="I216:N216" si="114">I204</f>
        <v>2016</v>
      </c>
      <c r="J216" s="1679">
        <f t="shared" si="114"/>
        <v>2017</v>
      </c>
      <c r="K216" s="1679">
        <f t="shared" si="114"/>
        <v>2018</v>
      </c>
      <c r="L216" s="1679">
        <f t="shared" si="114"/>
        <v>2019</v>
      </c>
      <c r="M216" s="1679">
        <f t="shared" si="114"/>
        <v>2020</v>
      </c>
      <c r="N216" s="1679">
        <f t="shared" si="114"/>
        <v>2021</v>
      </c>
      <c r="O216" s="110"/>
      <c r="P216" s="1601"/>
    </row>
    <row r="217" spans="2:16" s="874" customFormat="1" x14ac:dyDescent="0.2">
      <c r="B217" s="679"/>
      <c r="C217" s="110"/>
      <c r="D217" s="114" t="s">
        <v>981</v>
      </c>
      <c r="E217" s="6"/>
      <c r="F217" s="166"/>
      <c r="G217" s="6"/>
      <c r="H217" s="1682">
        <f>H27+H47+H67+H87+H107+H130+H170+H190+H210</f>
        <v>0</v>
      </c>
      <c r="I217" s="1682">
        <f t="shared" ref="I217:N217" si="115">I27+I47+I67+I87+I107+I130+I170+I190+I210</f>
        <v>0</v>
      </c>
      <c r="J217" s="1682">
        <f t="shared" si="115"/>
        <v>0</v>
      </c>
      <c r="K217" s="1682">
        <f t="shared" si="115"/>
        <v>0</v>
      </c>
      <c r="L217" s="1682">
        <f t="shared" si="115"/>
        <v>0</v>
      </c>
      <c r="M217" s="1682">
        <f t="shared" si="115"/>
        <v>0</v>
      </c>
      <c r="N217" s="1682">
        <f t="shared" si="115"/>
        <v>0</v>
      </c>
      <c r="O217" s="110"/>
      <c r="P217" s="1601"/>
    </row>
    <row r="218" spans="2:16" s="874" customFormat="1" x14ac:dyDescent="0.2">
      <c r="B218" s="679"/>
      <c r="C218" s="110"/>
      <c r="D218" s="6"/>
      <c r="E218" s="6"/>
      <c r="F218" s="166"/>
      <c r="G218" s="6"/>
      <c r="H218" s="1678"/>
      <c r="I218" s="1678"/>
      <c r="J218" s="1678"/>
      <c r="K218" s="1678"/>
      <c r="L218" s="1678"/>
      <c r="M218" s="1678"/>
      <c r="N218" s="1678"/>
      <c r="O218" s="110"/>
      <c r="P218" s="1601"/>
    </row>
    <row r="219" spans="2:16" s="874" customFormat="1" x14ac:dyDescent="0.2">
      <c r="B219" s="679"/>
      <c r="C219" s="110"/>
      <c r="D219" s="6"/>
      <c r="E219" s="6"/>
      <c r="F219" s="166"/>
      <c r="G219" s="6"/>
      <c r="H219" s="1678"/>
      <c r="I219" s="1678"/>
      <c r="J219" s="1678"/>
      <c r="K219" s="1678"/>
      <c r="L219" s="1678"/>
      <c r="M219" s="1678"/>
      <c r="N219" s="1678"/>
      <c r="O219" s="110"/>
      <c r="P219" s="1601"/>
    </row>
    <row r="220" spans="2:16" s="874" customFormat="1" x14ac:dyDescent="0.2">
      <c r="B220" s="679"/>
      <c r="C220" s="110"/>
      <c r="D220" s="6"/>
      <c r="E220" s="6"/>
      <c r="F220" s="166"/>
      <c r="G220" s="6"/>
      <c r="H220" s="1678"/>
      <c r="I220" s="1678"/>
      <c r="J220" s="1678"/>
      <c r="K220" s="1678"/>
      <c r="L220" s="1678"/>
      <c r="M220" s="1678"/>
      <c r="N220" s="1678"/>
      <c r="O220" s="110"/>
      <c r="P220" s="1601"/>
    </row>
    <row r="221" spans="2:16" s="874" customFormat="1" x14ac:dyDescent="0.2">
      <c r="B221" s="1650"/>
      <c r="C221" s="1651"/>
      <c r="D221" s="1652"/>
      <c r="E221" s="1652"/>
      <c r="F221" s="1653"/>
      <c r="G221" s="1652"/>
      <c r="H221" s="1654"/>
      <c r="I221" s="1654"/>
      <c r="J221" s="1654"/>
      <c r="K221" s="1654"/>
      <c r="L221" s="1654"/>
      <c r="M221" s="1654"/>
      <c r="N221" s="1654"/>
      <c r="O221" s="1655"/>
      <c r="P221" s="1601"/>
    </row>
    <row r="222" spans="2:16" s="874" customFormat="1" x14ac:dyDescent="0.2">
      <c r="B222" s="1664"/>
      <c r="C222" s="1648"/>
      <c r="D222" s="1648"/>
      <c r="E222" s="1648"/>
      <c r="F222" s="1648"/>
      <c r="G222" s="1648"/>
      <c r="H222" s="1648"/>
      <c r="I222" s="1648"/>
      <c r="J222" s="1648"/>
      <c r="K222" s="1648"/>
      <c r="L222" s="1648"/>
      <c r="M222" s="1648"/>
      <c r="N222" s="1648"/>
      <c r="O222" s="1648"/>
      <c r="P222" s="1649"/>
    </row>
    <row r="223" spans="2:16" s="874" customFormat="1" x14ac:dyDescent="0.2"/>
    <row r="224" spans="2:16" s="874" customFormat="1" x14ac:dyDescent="0.2"/>
    <row r="225" s="874" customFormat="1" x14ac:dyDescent="0.2"/>
    <row r="226" s="874" customFormat="1" x14ac:dyDescent="0.2"/>
    <row r="227" s="874" customFormat="1" x14ac:dyDescent="0.2"/>
    <row r="228" s="874" customFormat="1" x14ac:dyDescent="0.2"/>
    <row r="229" s="874" customFormat="1" x14ac:dyDescent="0.2"/>
    <row r="230" s="874" customFormat="1" x14ac:dyDescent="0.2"/>
    <row r="231" s="874" customFormat="1" x14ac:dyDescent="0.2"/>
    <row r="232" s="874" customFormat="1" x14ac:dyDescent="0.2"/>
    <row r="233" s="874" customFormat="1" x14ac:dyDescent="0.2"/>
    <row r="234" s="874" customFormat="1" x14ac:dyDescent="0.2"/>
    <row r="235" s="874" customFormat="1" x14ac:dyDescent="0.2"/>
    <row r="236" s="874" customFormat="1" x14ac:dyDescent="0.2"/>
    <row r="237" s="874" customFormat="1" x14ac:dyDescent="0.2"/>
    <row r="238" s="874" customFormat="1" x14ac:dyDescent="0.2"/>
    <row r="239" s="874" customFormat="1" x14ac:dyDescent="0.2"/>
    <row r="240" s="874" customFormat="1" x14ac:dyDescent="0.2"/>
    <row r="241" s="874" customFormat="1" x14ac:dyDescent="0.2"/>
    <row r="242" s="874" customFormat="1" x14ac:dyDescent="0.2"/>
    <row r="243" s="874" customFormat="1" x14ac:dyDescent="0.2"/>
    <row r="244" s="874" customFormat="1" x14ac:dyDescent="0.2"/>
    <row r="245" s="874" customFormat="1" x14ac:dyDescent="0.2"/>
    <row r="246" s="874" customFormat="1" x14ac:dyDescent="0.2"/>
    <row r="247" s="874" customFormat="1" x14ac:dyDescent="0.2"/>
    <row r="248" s="874" customFormat="1" x14ac:dyDescent="0.2"/>
    <row r="249" s="874" customFormat="1" x14ac:dyDescent="0.2"/>
    <row r="250" s="874" customFormat="1" x14ac:dyDescent="0.2"/>
    <row r="251" s="874" customFormat="1" x14ac:dyDescent="0.2"/>
    <row r="252" s="874" customFormat="1" x14ac:dyDescent="0.2"/>
    <row r="253" s="874" customFormat="1" x14ac:dyDescent="0.2"/>
    <row r="254" s="874" customFormat="1" x14ac:dyDescent="0.2"/>
    <row r="255" s="874" customFormat="1" x14ac:dyDescent="0.2"/>
    <row r="256" s="874" customFormat="1" x14ac:dyDescent="0.2"/>
    <row r="257" s="874" customFormat="1" x14ac:dyDescent="0.2"/>
    <row r="258" s="874" customFormat="1" x14ac:dyDescent="0.2"/>
    <row r="259" s="874" customFormat="1" x14ac:dyDescent="0.2"/>
    <row r="260" s="874" customFormat="1" x14ac:dyDescent="0.2"/>
    <row r="261" s="874" customFormat="1" x14ac:dyDescent="0.2"/>
    <row r="262" s="874" customFormat="1" x14ac:dyDescent="0.2"/>
    <row r="263" s="874" customFormat="1" x14ac:dyDescent="0.2"/>
    <row r="264" s="874" customFormat="1" x14ac:dyDescent="0.2"/>
    <row r="265" s="874" customFormat="1" x14ac:dyDescent="0.2"/>
    <row r="266" s="874" customFormat="1" x14ac:dyDescent="0.2"/>
    <row r="267" s="874" customFormat="1" x14ac:dyDescent="0.2"/>
    <row r="268" s="874" customFormat="1" x14ac:dyDescent="0.2"/>
    <row r="269" s="874" customFormat="1" x14ac:dyDescent="0.2"/>
    <row r="270" s="874" customFormat="1" x14ac:dyDescent="0.2"/>
    <row r="271" s="874" customFormat="1" x14ac:dyDescent="0.2"/>
    <row r="272" s="874" customFormat="1" x14ac:dyDescent="0.2"/>
    <row r="273" s="874" customFormat="1" x14ac:dyDescent="0.2"/>
    <row r="274" s="874" customFormat="1" x14ac:dyDescent="0.2"/>
    <row r="275" s="874" customFormat="1" x14ac:dyDescent="0.2"/>
    <row r="276" s="874" customFormat="1" x14ac:dyDescent="0.2"/>
    <row r="277" s="874" customFormat="1" x14ac:dyDescent="0.2"/>
    <row r="278" s="874" customFormat="1" x14ac:dyDescent="0.2"/>
    <row r="279" s="874" customFormat="1" x14ac:dyDescent="0.2"/>
    <row r="280" s="874" customFormat="1" x14ac:dyDescent="0.2"/>
    <row r="281" s="874" customFormat="1" x14ac:dyDescent="0.2"/>
    <row r="282" s="874" customFormat="1" x14ac:dyDescent="0.2"/>
    <row r="283" s="874" customFormat="1" x14ac:dyDescent="0.2"/>
    <row r="284" s="874" customFormat="1" x14ac:dyDescent="0.2"/>
    <row r="285" s="874" customFormat="1" x14ac:dyDescent="0.2"/>
    <row r="286" s="874" customFormat="1" x14ac:dyDescent="0.2"/>
    <row r="287" s="874" customFormat="1" x14ac:dyDescent="0.2"/>
    <row r="288" s="874" customFormat="1" x14ac:dyDescent="0.2"/>
    <row r="289" s="874" customFormat="1" x14ac:dyDescent="0.2"/>
    <row r="290" s="874" customFormat="1" x14ac:dyDescent="0.2"/>
    <row r="291" s="874" customFormat="1" x14ac:dyDescent="0.2"/>
    <row r="292" s="874" customFormat="1" x14ac:dyDescent="0.2"/>
    <row r="293" s="874" customFormat="1" x14ac:dyDescent="0.2"/>
    <row r="294" s="874" customFormat="1" x14ac:dyDescent="0.2"/>
    <row r="295" s="874" customFormat="1" x14ac:dyDescent="0.2"/>
    <row r="296" s="874" customFormat="1" x14ac:dyDescent="0.2"/>
    <row r="297" s="874" customFormat="1" x14ac:dyDescent="0.2"/>
    <row r="298" s="874" customFormat="1" x14ac:dyDescent="0.2"/>
    <row r="299" s="874" customFormat="1" x14ac:dyDescent="0.2"/>
    <row r="300" s="874" customFormat="1" x14ac:dyDescent="0.2"/>
    <row r="301" s="874" customFormat="1" x14ac:dyDescent="0.2"/>
    <row r="302" s="874" customFormat="1" x14ac:dyDescent="0.2"/>
    <row r="303" s="874" customFormat="1" x14ac:dyDescent="0.2"/>
    <row r="304" s="874" customFormat="1" x14ac:dyDescent="0.2"/>
    <row r="305" s="874" customFormat="1" x14ac:dyDescent="0.2"/>
    <row r="306" s="874" customFormat="1" x14ac:dyDescent="0.2"/>
    <row r="307" s="874" customFormat="1" x14ac:dyDescent="0.2"/>
    <row r="308" s="874" customFormat="1" x14ac:dyDescent="0.2"/>
    <row r="309" s="874" customFormat="1" x14ac:dyDescent="0.2"/>
    <row r="310" s="874" customFormat="1" ht="12.75" customHeight="1" x14ac:dyDescent="0.2"/>
    <row r="311" s="874" customFormat="1" ht="12.75" customHeight="1" x14ac:dyDescent="0.2"/>
    <row r="312" s="874" customFormat="1" ht="12.75" customHeight="1" x14ac:dyDescent="0.2"/>
    <row r="313" s="874" customFormat="1" ht="12.75" customHeight="1" x14ac:dyDescent="0.2"/>
    <row r="314" s="874" customFormat="1" ht="12.75" customHeight="1" x14ac:dyDescent="0.2"/>
    <row r="315" s="874" customFormat="1" x14ac:dyDescent="0.2"/>
    <row r="316" s="874" customFormat="1" x14ac:dyDescent="0.2"/>
    <row r="317" s="874" customFormat="1" x14ac:dyDescent="0.2"/>
    <row r="318" s="874" customFormat="1" x14ac:dyDescent="0.2"/>
    <row r="319" s="874" customFormat="1" hidden="1" x14ac:dyDescent="0.2"/>
    <row r="320" s="874" customFormat="1" x14ac:dyDescent="0.2"/>
    <row r="321" spans="2:18" s="874" customFormat="1" x14ac:dyDescent="0.2"/>
    <row r="322" spans="2:18" s="874" customFormat="1" x14ac:dyDescent="0.2"/>
    <row r="323" spans="2:18" s="874" customFormat="1" x14ac:dyDescent="0.2"/>
    <row r="324" spans="2:18" s="874" customFormat="1" x14ac:dyDescent="0.2"/>
    <row r="325" spans="2:18" s="874" customFormat="1" x14ac:dyDescent="0.2"/>
    <row r="326" spans="2:18" s="874" customFormat="1" x14ac:dyDescent="0.2"/>
    <row r="327" spans="2:18" s="874" customFormat="1" x14ac:dyDescent="0.2"/>
    <row r="328" spans="2:18" s="874" customFormat="1" x14ac:dyDescent="0.2"/>
    <row r="329" spans="2:18" s="874" customFormat="1" x14ac:dyDescent="0.2"/>
    <row r="330" spans="2:18" s="874" customFormat="1" x14ac:dyDescent="0.2"/>
    <row r="331" spans="2:18" s="874" customFormat="1" x14ac:dyDescent="0.2"/>
    <row r="332" spans="2:18" s="874" customFormat="1" x14ac:dyDescent="0.2"/>
    <row r="333" spans="2:18" s="874" customFormat="1" x14ac:dyDescent="0.2"/>
    <row r="334" spans="2:18" s="874" customFormat="1" x14ac:dyDescent="0.2"/>
    <row r="335" spans="2:18" x14ac:dyDescent="0.2">
      <c r="B335" s="110"/>
      <c r="C335" s="110"/>
      <c r="D335" s="110"/>
      <c r="E335" s="110"/>
      <c r="F335" s="113"/>
      <c r="G335" s="110"/>
      <c r="H335" s="110"/>
      <c r="I335" s="113"/>
      <c r="J335" s="113"/>
      <c r="K335" s="113"/>
      <c r="L335" s="113"/>
      <c r="M335" s="113"/>
      <c r="N335" s="113"/>
      <c r="O335" s="110"/>
      <c r="P335" s="110"/>
      <c r="Q335" s="110"/>
      <c r="R335" s="110"/>
    </row>
    <row r="336" spans="2:18" x14ac:dyDescent="0.2">
      <c r="B336" s="110"/>
      <c r="C336" s="110"/>
      <c r="D336" s="110"/>
      <c r="E336" s="110"/>
      <c r="F336" s="113"/>
      <c r="G336" s="110"/>
      <c r="H336" s="110"/>
      <c r="I336" s="113"/>
      <c r="J336" s="113"/>
      <c r="K336" s="113"/>
      <c r="L336" s="113"/>
      <c r="M336" s="113"/>
      <c r="N336" s="113"/>
      <c r="O336" s="110"/>
      <c r="P336" s="110"/>
      <c r="Q336" s="110"/>
      <c r="R336" s="110"/>
    </row>
    <row r="337" spans="2:18" x14ac:dyDescent="0.2">
      <c r="B337" s="110"/>
      <c r="C337" s="110"/>
      <c r="D337" s="110"/>
      <c r="E337" s="110"/>
      <c r="F337" s="113"/>
      <c r="G337" s="110"/>
      <c r="H337" s="110"/>
      <c r="I337" s="113"/>
      <c r="J337" s="113"/>
      <c r="K337" s="113"/>
      <c r="L337" s="113"/>
      <c r="M337" s="113"/>
      <c r="N337" s="113"/>
      <c r="O337" s="110"/>
      <c r="P337" s="110"/>
      <c r="Q337" s="110"/>
      <c r="R337" s="110"/>
    </row>
    <row r="338" spans="2:18" x14ac:dyDescent="0.2">
      <c r="B338" s="110"/>
      <c r="C338" s="110"/>
      <c r="D338" s="110"/>
      <c r="E338" s="110"/>
      <c r="F338" s="113"/>
      <c r="G338" s="110"/>
      <c r="H338" s="110"/>
      <c r="I338" s="113"/>
      <c r="J338" s="113"/>
      <c r="K338" s="113"/>
      <c r="L338" s="113"/>
      <c r="M338" s="113"/>
      <c r="N338" s="113"/>
      <c r="O338" s="110"/>
      <c r="P338" s="110"/>
      <c r="Q338" s="110"/>
      <c r="R338" s="110"/>
    </row>
    <row r="339" spans="2:18" x14ac:dyDescent="0.2">
      <c r="B339" s="110"/>
      <c r="C339" s="110"/>
      <c r="D339" s="110"/>
      <c r="E339" s="110"/>
      <c r="F339" s="113"/>
      <c r="G339" s="110"/>
      <c r="H339" s="110"/>
      <c r="I339" s="113"/>
      <c r="J339" s="113"/>
      <c r="K339" s="113"/>
      <c r="L339" s="113"/>
      <c r="M339" s="113"/>
      <c r="N339" s="113"/>
      <c r="O339" s="110"/>
      <c r="P339" s="110"/>
      <c r="Q339" s="110"/>
      <c r="R339" s="110"/>
    </row>
    <row r="340" spans="2:18" x14ac:dyDescent="0.2">
      <c r="B340" s="110"/>
      <c r="C340" s="110"/>
      <c r="D340" s="110"/>
      <c r="E340" s="110"/>
      <c r="F340" s="113"/>
      <c r="G340" s="110"/>
      <c r="H340" s="110"/>
      <c r="I340" s="113"/>
      <c r="J340" s="113"/>
      <c r="K340" s="113"/>
      <c r="L340" s="113"/>
      <c r="M340" s="113"/>
      <c r="N340" s="113"/>
      <c r="O340" s="110"/>
      <c r="P340" s="110"/>
      <c r="Q340" s="110"/>
      <c r="R340" s="110"/>
    </row>
    <row r="341" spans="2:18" x14ac:dyDescent="0.2">
      <c r="B341" s="110"/>
      <c r="C341" s="110"/>
      <c r="D341" s="110"/>
      <c r="E341" s="110"/>
      <c r="F341" s="113"/>
      <c r="G341" s="110"/>
      <c r="H341" s="110"/>
      <c r="I341" s="113"/>
      <c r="J341" s="113"/>
      <c r="K341" s="113"/>
      <c r="L341" s="113"/>
      <c r="M341" s="113"/>
      <c r="N341" s="113"/>
      <c r="O341" s="110"/>
      <c r="P341" s="110"/>
      <c r="Q341" s="110"/>
      <c r="R341" s="110"/>
    </row>
    <row r="342" spans="2:18" x14ac:dyDescent="0.2">
      <c r="B342" s="110"/>
      <c r="C342" s="110"/>
      <c r="D342" s="110"/>
      <c r="E342" s="110"/>
      <c r="F342" s="113"/>
      <c r="G342" s="110"/>
      <c r="H342" s="110"/>
      <c r="I342" s="113"/>
      <c r="J342" s="113"/>
      <c r="K342" s="113"/>
      <c r="L342" s="113"/>
      <c r="M342" s="113"/>
      <c r="N342" s="113"/>
      <c r="O342" s="110"/>
      <c r="P342" s="110"/>
      <c r="Q342" s="110"/>
      <c r="R342" s="110"/>
    </row>
    <row r="343" spans="2:18" x14ac:dyDescent="0.2">
      <c r="B343" s="110"/>
      <c r="C343" s="110"/>
      <c r="D343" s="110"/>
      <c r="E343" s="110"/>
      <c r="F343" s="113"/>
      <c r="G343" s="110"/>
      <c r="H343" s="110"/>
      <c r="I343" s="113"/>
      <c r="J343" s="113"/>
      <c r="K343" s="113"/>
      <c r="L343" s="113"/>
      <c r="M343" s="113"/>
      <c r="N343" s="113"/>
      <c r="O343" s="110"/>
      <c r="P343" s="110"/>
      <c r="Q343" s="110"/>
      <c r="R343" s="110"/>
    </row>
    <row r="344" spans="2:18" x14ac:dyDescent="0.2">
      <c r="B344" s="110"/>
      <c r="C344" s="110"/>
      <c r="D344" s="110"/>
      <c r="E344" s="110"/>
      <c r="F344" s="113"/>
      <c r="G344" s="110"/>
      <c r="H344" s="110"/>
      <c r="I344" s="113"/>
      <c r="J344" s="113"/>
      <c r="K344" s="113"/>
      <c r="L344" s="113"/>
      <c r="M344" s="113"/>
      <c r="N344" s="113"/>
      <c r="O344" s="110"/>
      <c r="P344" s="110"/>
      <c r="Q344" s="110"/>
      <c r="R344" s="110"/>
    </row>
    <row r="345" spans="2:18" x14ac:dyDescent="0.2">
      <c r="B345" s="110"/>
      <c r="C345" s="110"/>
      <c r="D345" s="110"/>
      <c r="E345" s="110"/>
      <c r="F345" s="113"/>
      <c r="G345" s="110"/>
      <c r="H345" s="110"/>
      <c r="I345" s="113"/>
      <c r="J345" s="113"/>
      <c r="K345" s="113"/>
      <c r="L345" s="113"/>
      <c r="M345" s="113"/>
      <c r="N345" s="113"/>
      <c r="O345" s="110"/>
      <c r="P345" s="110"/>
      <c r="Q345" s="110"/>
      <c r="R345" s="110"/>
    </row>
    <row r="346" spans="2:18" x14ac:dyDescent="0.2">
      <c r="B346" s="110"/>
      <c r="C346" s="110"/>
      <c r="D346" s="110"/>
      <c r="E346" s="110"/>
      <c r="F346" s="113"/>
      <c r="G346" s="110"/>
      <c r="H346" s="110"/>
      <c r="I346" s="113"/>
      <c r="J346" s="113"/>
      <c r="K346" s="113"/>
      <c r="L346" s="113"/>
      <c r="M346" s="113"/>
      <c r="N346" s="113"/>
      <c r="O346" s="110"/>
      <c r="P346" s="110"/>
      <c r="Q346" s="110"/>
      <c r="R346" s="110"/>
    </row>
    <row r="347" spans="2:18" x14ac:dyDescent="0.2">
      <c r="B347" s="110"/>
      <c r="C347" s="110"/>
      <c r="D347" s="110"/>
      <c r="E347" s="110"/>
      <c r="F347" s="113"/>
      <c r="G347" s="110"/>
      <c r="H347" s="110"/>
      <c r="I347" s="113"/>
      <c r="J347" s="113"/>
      <c r="K347" s="113"/>
      <c r="L347" s="113"/>
      <c r="M347" s="113"/>
      <c r="N347" s="113"/>
      <c r="O347" s="110"/>
      <c r="P347" s="110"/>
      <c r="Q347" s="110"/>
      <c r="R347" s="110"/>
    </row>
    <row r="348" spans="2:18" x14ac:dyDescent="0.2">
      <c r="B348" s="110"/>
      <c r="C348" s="110"/>
      <c r="D348" s="110"/>
      <c r="E348" s="110"/>
      <c r="F348" s="113"/>
      <c r="G348" s="110"/>
      <c r="H348" s="110"/>
      <c r="I348" s="113"/>
      <c r="J348" s="113"/>
      <c r="K348" s="113"/>
      <c r="L348" s="113"/>
      <c r="M348" s="113"/>
      <c r="N348" s="113"/>
      <c r="O348" s="110"/>
      <c r="P348" s="110"/>
      <c r="Q348" s="110"/>
      <c r="R348" s="110"/>
    </row>
    <row r="349" spans="2:18" x14ac:dyDescent="0.2">
      <c r="B349" s="110"/>
      <c r="C349" s="110"/>
      <c r="D349" s="110"/>
      <c r="E349" s="110"/>
      <c r="F349" s="113"/>
      <c r="G349" s="110"/>
      <c r="H349" s="110"/>
      <c r="I349" s="113"/>
      <c r="J349" s="113"/>
      <c r="K349" s="113"/>
      <c r="L349" s="113"/>
      <c r="M349" s="113"/>
      <c r="N349" s="113"/>
      <c r="O349" s="110"/>
      <c r="P349" s="110"/>
      <c r="Q349" s="110"/>
      <c r="R349" s="110"/>
    </row>
    <row r="350" spans="2:18" x14ac:dyDescent="0.2">
      <c r="B350" s="110"/>
      <c r="C350" s="110"/>
      <c r="D350" s="110"/>
      <c r="E350" s="110"/>
      <c r="F350" s="113"/>
      <c r="G350" s="110"/>
      <c r="H350" s="110"/>
      <c r="I350" s="113"/>
      <c r="J350" s="113"/>
      <c r="K350" s="113"/>
      <c r="L350" s="113"/>
      <c r="M350" s="113"/>
      <c r="N350" s="113"/>
      <c r="O350" s="110"/>
      <c r="P350" s="110"/>
      <c r="Q350" s="110"/>
      <c r="R350" s="110"/>
    </row>
    <row r="351" spans="2:18" x14ac:dyDescent="0.2">
      <c r="B351" s="110"/>
      <c r="C351" s="110"/>
      <c r="D351" s="110"/>
      <c r="E351" s="110"/>
      <c r="F351" s="113"/>
      <c r="G351" s="110"/>
      <c r="H351" s="110"/>
      <c r="I351" s="113"/>
      <c r="J351" s="113"/>
      <c r="K351" s="113"/>
      <c r="L351" s="113"/>
      <c r="M351" s="113"/>
      <c r="N351" s="113"/>
      <c r="O351" s="110"/>
      <c r="P351" s="110"/>
      <c r="Q351" s="110"/>
      <c r="R351" s="110"/>
    </row>
    <row r="352" spans="2:18" x14ac:dyDescent="0.2">
      <c r="B352" s="110"/>
      <c r="C352" s="110"/>
      <c r="D352" s="110"/>
      <c r="E352" s="110"/>
      <c r="F352" s="113"/>
      <c r="G352" s="110"/>
      <c r="H352" s="110"/>
      <c r="I352" s="113"/>
      <c r="J352" s="113"/>
      <c r="K352" s="113"/>
      <c r="L352" s="113"/>
      <c r="M352" s="113"/>
      <c r="N352" s="113"/>
      <c r="O352" s="110"/>
      <c r="P352" s="110"/>
      <c r="Q352" s="110"/>
      <c r="R352" s="110"/>
    </row>
    <row r="353" spans="2:18" x14ac:dyDescent="0.2">
      <c r="B353" s="110"/>
      <c r="C353" s="110"/>
      <c r="D353" s="110"/>
      <c r="E353" s="110"/>
      <c r="F353" s="113"/>
      <c r="G353" s="110"/>
      <c r="H353" s="110"/>
      <c r="I353" s="113"/>
      <c r="J353" s="113"/>
      <c r="K353" s="113"/>
      <c r="L353" s="113"/>
      <c r="M353" s="113"/>
      <c r="N353" s="113"/>
      <c r="O353" s="110"/>
      <c r="P353" s="110"/>
      <c r="Q353" s="110"/>
      <c r="R353" s="110"/>
    </row>
    <row r="354" spans="2:18" x14ac:dyDescent="0.2">
      <c r="B354" s="110"/>
      <c r="C354" s="110"/>
      <c r="D354" s="110"/>
      <c r="E354" s="110"/>
      <c r="F354" s="113"/>
      <c r="G354" s="110"/>
      <c r="H354" s="110"/>
      <c r="I354" s="113"/>
      <c r="J354" s="113"/>
      <c r="K354" s="113"/>
      <c r="L354" s="113"/>
      <c r="M354" s="113"/>
      <c r="N354" s="113"/>
      <c r="O354" s="110"/>
      <c r="P354" s="110"/>
      <c r="Q354" s="110"/>
      <c r="R354" s="110"/>
    </row>
    <row r="355" spans="2:18" x14ac:dyDescent="0.2">
      <c r="B355" s="110"/>
      <c r="C355" s="110"/>
      <c r="D355" s="110"/>
      <c r="E355" s="110"/>
      <c r="F355" s="113"/>
      <c r="G355" s="110"/>
      <c r="H355" s="110"/>
      <c r="I355" s="113"/>
      <c r="J355" s="113"/>
      <c r="K355" s="113"/>
      <c r="L355" s="113"/>
      <c r="M355" s="113"/>
      <c r="N355" s="113"/>
      <c r="O355" s="110"/>
      <c r="P355" s="110"/>
      <c r="Q355" s="110"/>
      <c r="R355" s="110"/>
    </row>
    <row r="356" spans="2:18" x14ac:dyDescent="0.2">
      <c r="B356" s="110"/>
      <c r="C356" s="110"/>
      <c r="D356" s="110"/>
      <c r="E356" s="110"/>
      <c r="F356" s="113"/>
      <c r="G356" s="110"/>
      <c r="H356" s="110"/>
      <c r="I356" s="113"/>
      <c r="J356" s="113"/>
      <c r="K356" s="113"/>
      <c r="L356" s="113"/>
      <c r="M356" s="113"/>
      <c r="N356" s="113"/>
      <c r="O356" s="110"/>
      <c r="P356" s="110"/>
      <c r="Q356" s="110"/>
      <c r="R356" s="110"/>
    </row>
    <row r="357" spans="2:18" x14ac:dyDescent="0.2">
      <c r="B357" s="110"/>
      <c r="C357" s="110"/>
      <c r="D357" s="110"/>
      <c r="E357" s="110"/>
      <c r="F357" s="113"/>
      <c r="G357" s="110"/>
      <c r="H357" s="110"/>
      <c r="I357" s="113"/>
      <c r="J357" s="113"/>
      <c r="K357" s="113"/>
      <c r="L357" s="113"/>
      <c r="M357" s="113"/>
      <c r="N357" s="113"/>
      <c r="O357" s="110"/>
      <c r="P357" s="110"/>
      <c r="Q357" s="110"/>
      <c r="R357" s="110"/>
    </row>
    <row r="358" spans="2:18" x14ac:dyDescent="0.2">
      <c r="B358" s="110"/>
      <c r="C358" s="110"/>
      <c r="D358" s="110"/>
      <c r="E358" s="110"/>
      <c r="F358" s="113"/>
      <c r="G358" s="110"/>
      <c r="H358" s="110"/>
      <c r="I358" s="113"/>
      <c r="J358" s="113"/>
      <c r="K358" s="113"/>
      <c r="L358" s="113"/>
      <c r="M358" s="113"/>
      <c r="N358" s="113"/>
      <c r="O358" s="110"/>
      <c r="P358" s="110"/>
      <c r="Q358" s="110"/>
      <c r="R358" s="110"/>
    </row>
    <row r="359" spans="2:18" x14ac:dyDescent="0.2">
      <c r="B359" s="110"/>
      <c r="C359" s="110"/>
      <c r="D359" s="110"/>
      <c r="E359" s="110"/>
      <c r="F359" s="113"/>
      <c r="G359" s="110"/>
      <c r="H359" s="110"/>
      <c r="I359" s="113"/>
      <c r="J359" s="113"/>
      <c r="K359" s="113"/>
      <c r="L359" s="113"/>
      <c r="M359" s="113"/>
      <c r="N359" s="113"/>
      <c r="O359" s="110"/>
      <c r="P359" s="110"/>
      <c r="Q359" s="110"/>
      <c r="R359" s="110"/>
    </row>
    <row r="360" spans="2:18" x14ac:dyDescent="0.2">
      <c r="B360" s="110"/>
      <c r="C360" s="110"/>
      <c r="D360" s="110"/>
      <c r="E360" s="110"/>
      <c r="F360" s="113"/>
      <c r="G360" s="110"/>
      <c r="H360" s="110"/>
      <c r="I360" s="113"/>
      <c r="J360" s="113"/>
      <c r="K360" s="113"/>
      <c r="L360" s="113"/>
      <c r="M360" s="113"/>
      <c r="N360" s="113"/>
      <c r="O360" s="110"/>
      <c r="P360" s="110"/>
      <c r="Q360" s="110"/>
      <c r="R360" s="110"/>
    </row>
    <row r="361" spans="2:18" x14ac:dyDescent="0.2">
      <c r="B361" s="110"/>
      <c r="C361" s="110"/>
      <c r="D361" s="110"/>
      <c r="E361" s="110"/>
      <c r="F361" s="113"/>
      <c r="G361" s="110"/>
      <c r="H361" s="110"/>
      <c r="I361" s="113"/>
      <c r="J361" s="113"/>
      <c r="K361" s="113"/>
      <c r="L361" s="113"/>
      <c r="M361" s="113"/>
      <c r="N361" s="113"/>
      <c r="O361" s="110"/>
      <c r="P361" s="110"/>
      <c r="Q361" s="110"/>
      <c r="R361" s="110"/>
    </row>
    <row r="362" spans="2:18" x14ac:dyDescent="0.2">
      <c r="B362" s="110"/>
      <c r="C362" s="110"/>
      <c r="D362" s="110"/>
      <c r="E362" s="110"/>
      <c r="F362" s="113"/>
      <c r="G362" s="110"/>
      <c r="H362" s="110"/>
      <c r="I362" s="113"/>
      <c r="J362" s="113"/>
      <c r="K362" s="113"/>
      <c r="L362" s="113"/>
      <c r="M362" s="113"/>
      <c r="N362" s="113"/>
      <c r="O362" s="110"/>
      <c r="P362" s="110"/>
      <c r="Q362" s="110"/>
      <c r="R362" s="110"/>
    </row>
    <row r="363" spans="2:18" x14ac:dyDescent="0.2">
      <c r="B363" s="110"/>
      <c r="C363" s="110"/>
      <c r="D363" s="110"/>
      <c r="E363" s="110"/>
      <c r="F363" s="113"/>
      <c r="G363" s="110"/>
      <c r="H363" s="110"/>
      <c r="I363" s="113"/>
      <c r="J363" s="113"/>
      <c r="K363" s="113"/>
      <c r="L363" s="113"/>
      <c r="M363" s="113"/>
      <c r="N363" s="113"/>
      <c r="O363" s="110"/>
      <c r="P363" s="110"/>
      <c r="Q363" s="110"/>
      <c r="R363" s="110"/>
    </row>
    <row r="364" spans="2:18" x14ac:dyDescent="0.2">
      <c r="B364" s="110"/>
      <c r="C364" s="110"/>
      <c r="D364" s="110"/>
      <c r="E364" s="110"/>
      <c r="F364" s="113"/>
      <c r="G364" s="110"/>
      <c r="H364" s="110"/>
      <c r="I364" s="113"/>
      <c r="J364" s="113"/>
      <c r="K364" s="113"/>
      <c r="L364" s="113"/>
      <c r="M364" s="113"/>
      <c r="N364" s="113"/>
      <c r="O364" s="110"/>
      <c r="P364" s="110"/>
      <c r="Q364" s="110"/>
      <c r="R364" s="110"/>
    </row>
    <row r="365" spans="2:18" x14ac:dyDescent="0.2">
      <c r="B365" s="110"/>
      <c r="C365" s="110"/>
      <c r="D365" s="110"/>
      <c r="E365" s="110"/>
      <c r="F365" s="113"/>
      <c r="G365" s="110"/>
      <c r="H365" s="110"/>
      <c r="I365" s="113"/>
      <c r="J365" s="113"/>
      <c r="K365" s="113"/>
      <c r="L365" s="113"/>
      <c r="M365" s="113"/>
      <c r="N365" s="113"/>
      <c r="O365" s="110"/>
      <c r="P365" s="110"/>
      <c r="Q365" s="110"/>
      <c r="R365" s="110"/>
    </row>
    <row r="366" spans="2:18" x14ac:dyDescent="0.2">
      <c r="B366" s="110"/>
      <c r="C366" s="110"/>
      <c r="D366" s="110"/>
      <c r="E366" s="110"/>
      <c r="F366" s="113"/>
      <c r="G366" s="110"/>
      <c r="H366" s="110"/>
      <c r="I366" s="113"/>
      <c r="J366" s="113"/>
      <c r="K366" s="113"/>
      <c r="L366" s="113"/>
      <c r="M366" s="113"/>
      <c r="N366" s="113"/>
      <c r="O366" s="110"/>
      <c r="P366" s="110"/>
      <c r="Q366" s="110"/>
      <c r="R366" s="110"/>
    </row>
    <row r="367" spans="2:18" x14ac:dyDescent="0.2">
      <c r="B367" s="110"/>
      <c r="C367" s="110"/>
      <c r="D367" s="110"/>
      <c r="E367" s="110"/>
      <c r="F367" s="113"/>
      <c r="G367" s="110"/>
      <c r="H367" s="110"/>
      <c r="I367" s="113"/>
      <c r="J367" s="113"/>
      <c r="K367" s="113"/>
      <c r="L367" s="113"/>
      <c r="M367" s="113"/>
      <c r="N367" s="113"/>
      <c r="O367" s="110"/>
      <c r="P367" s="110"/>
      <c r="Q367" s="110"/>
      <c r="R367" s="110"/>
    </row>
    <row r="368" spans="2:18" x14ac:dyDescent="0.2">
      <c r="B368" s="110"/>
      <c r="C368" s="110"/>
      <c r="D368" s="110"/>
      <c r="E368" s="110"/>
      <c r="F368" s="113"/>
      <c r="G368" s="110"/>
      <c r="H368" s="110"/>
      <c r="I368" s="113"/>
      <c r="J368" s="113"/>
      <c r="K368" s="113"/>
      <c r="L368" s="113"/>
      <c r="M368" s="113"/>
      <c r="N368" s="113"/>
      <c r="O368" s="110"/>
      <c r="P368" s="110"/>
      <c r="Q368" s="110"/>
      <c r="R368" s="110"/>
    </row>
    <row r="369" spans="2:18" x14ac:dyDescent="0.2">
      <c r="B369" s="110"/>
      <c r="C369" s="110"/>
      <c r="D369" s="110"/>
      <c r="E369" s="110"/>
      <c r="F369" s="113"/>
      <c r="G369" s="110"/>
      <c r="H369" s="110"/>
      <c r="I369" s="113"/>
      <c r="J369" s="113"/>
      <c r="K369" s="113"/>
      <c r="L369" s="113"/>
      <c r="M369" s="113"/>
      <c r="N369" s="113"/>
      <c r="O369" s="110"/>
      <c r="P369" s="110"/>
      <c r="Q369" s="110"/>
      <c r="R369" s="110"/>
    </row>
    <row r="370" spans="2:18" x14ac:dyDescent="0.2">
      <c r="B370" s="110"/>
      <c r="C370" s="110"/>
      <c r="D370" s="110"/>
      <c r="E370" s="110"/>
      <c r="F370" s="113"/>
      <c r="G370" s="110"/>
      <c r="H370" s="110"/>
      <c r="I370" s="113"/>
      <c r="J370" s="113"/>
      <c r="K370" s="113"/>
      <c r="L370" s="113"/>
      <c r="M370" s="113"/>
      <c r="N370" s="113"/>
      <c r="O370" s="110"/>
      <c r="P370" s="110"/>
      <c r="Q370" s="110"/>
      <c r="R370" s="110"/>
    </row>
    <row r="371" spans="2:18" x14ac:dyDescent="0.2">
      <c r="B371" s="110"/>
      <c r="C371" s="110"/>
      <c r="D371" s="110"/>
      <c r="E371" s="110"/>
      <c r="F371" s="113"/>
      <c r="G371" s="110"/>
      <c r="H371" s="110"/>
      <c r="I371" s="113"/>
      <c r="J371" s="113"/>
      <c r="K371" s="113"/>
      <c r="L371" s="113"/>
      <c r="M371" s="113"/>
      <c r="N371" s="113"/>
      <c r="O371" s="110"/>
      <c r="P371" s="110"/>
      <c r="Q371" s="110"/>
      <c r="R371" s="110"/>
    </row>
    <row r="372" spans="2:18" x14ac:dyDescent="0.2">
      <c r="B372" s="110"/>
      <c r="C372" s="110"/>
      <c r="D372" s="110"/>
      <c r="E372" s="110"/>
      <c r="F372" s="113"/>
      <c r="G372" s="110"/>
      <c r="H372" s="110"/>
      <c r="I372" s="113"/>
      <c r="J372" s="113"/>
      <c r="K372" s="113"/>
      <c r="L372" s="113"/>
      <c r="M372" s="113"/>
      <c r="N372" s="113"/>
      <c r="O372" s="110"/>
      <c r="P372" s="110"/>
      <c r="Q372" s="110"/>
      <c r="R372" s="110"/>
    </row>
    <row r="373" spans="2:18" x14ac:dyDescent="0.2">
      <c r="B373" s="110"/>
      <c r="C373" s="110"/>
      <c r="D373" s="110"/>
      <c r="E373" s="110"/>
      <c r="F373" s="113"/>
      <c r="G373" s="110"/>
      <c r="H373" s="110"/>
      <c r="I373" s="113"/>
      <c r="J373" s="113"/>
      <c r="K373" s="113"/>
      <c r="L373" s="113"/>
      <c r="M373" s="113"/>
      <c r="N373" s="113"/>
      <c r="O373" s="110"/>
      <c r="P373" s="110"/>
      <c r="Q373" s="110"/>
      <c r="R373" s="110"/>
    </row>
    <row r="374" spans="2:18" x14ac:dyDescent="0.2">
      <c r="B374" s="110"/>
      <c r="C374" s="110"/>
      <c r="D374" s="110"/>
      <c r="E374" s="110"/>
      <c r="F374" s="113"/>
      <c r="G374" s="110"/>
      <c r="H374" s="110"/>
      <c r="I374" s="113"/>
      <c r="J374" s="113"/>
      <c r="K374" s="113"/>
      <c r="L374" s="113"/>
      <c r="M374" s="113"/>
      <c r="N374" s="113"/>
      <c r="O374" s="110"/>
      <c r="P374" s="110"/>
      <c r="Q374" s="110"/>
      <c r="R374" s="110"/>
    </row>
    <row r="375" spans="2:18" x14ac:dyDescent="0.2">
      <c r="B375" s="110"/>
      <c r="C375" s="110"/>
      <c r="D375" s="110"/>
      <c r="E375" s="110"/>
      <c r="F375" s="113"/>
      <c r="G375" s="110"/>
      <c r="H375" s="110"/>
      <c r="I375" s="113"/>
      <c r="J375" s="113"/>
      <c r="K375" s="113"/>
      <c r="L375" s="113"/>
      <c r="M375" s="113"/>
      <c r="N375" s="113"/>
      <c r="O375" s="110"/>
      <c r="P375" s="110"/>
      <c r="Q375" s="110"/>
      <c r="R375" s="110"/>
    </row>
    <row r="376" spans="2:18" x14ac:dyDescent="0.2">
      <c r="B376" s="110"/>
      <c r="C376" s="110"/>
      <c r="D376" s="110"/>
      <c r="E376" s="110"/>
      <c r="F376" s="113"/>
      <c r="G376" s="110"/>
      <c r="H376" s="110"/>
      <c r="I376" s="113"/>
      <c r="J376" s="113"/>
      <c r="K376" s="113"/>
      <c r="L376" s="113"/>
      <c r="M376" s="113"/>
      <c r="N376" s="113"/>
      <c r="O376" s="110"/>
      <c r="P376" s="110"/>
      <c r="Q376" s="110"/>
      <c r="R376" s="110"/>
    </row>
    <row r="377" spans="2:18" x14ac:dyDescent="0.2">
      <c r="B377" s="110"/>
      <c r="C377" s="110"/>
      <c r="D377" s="110"/>
      <c r="E377" s="110"/>
      <c r="F377" s="113"/>
      <c r="G377" s="110"/>
      <c r="H377" s="110"/>
      <c r="I377" s="113"/>
      <c r="J377" s="113"/>
      <c r="K377" s="113"/>
      <c r="L377" s="113"/>
      <c r="M377" s="113"/>
      <c r="N377" s="113"/>
      <c r="O377" s="110"/>
      <c r="P377" s="110"/>
      <c r="Q377" s="110"/>
      <c r="R377" s="110"/>
    </row>
    <row r="378" spans="2:18" x14ac:dyDescent="0.2">
      <c r="B378" s="110"/>
      <c r="C378" s="110"/>
      <c r="D378" s="110"/>
      <c r="E378" s="110"/>
      <c r="F378" s="113"/>
      <c r="G378" s="110"/>
      <c r="H378" s="110"/>
      <c r="I378" s="113"/>
      <c r="J378" s="113"/>
      <c r="K378" s="113"/>
      <c r="L378" s="113"/>
      <c r="M378" s="113"/>
      <c r="N378" s="113"/>
      <c r="O378" s="110"/>
      <c r="P378" s="110"/>
      <c r="Q378" s="110"/>
      <c r="R378" s="110"/>
    </row>
    <row r="379" spans="2:18" x14ac:dyDescent="0.2">
      <c r="B379" s="110"/>
      <c r="C379" s="110"/>
      <c r="D379" s="110"/>
      <c r="E379" s="110"/>
      <c r="F379" s="113"/>
      <c r="G379" s="110"/>
      <c r="H379" s="110"/>
      <c r="I379" s="113"/>
      <c r="J379" s="113"/>
      <c r="K379" s="113"/>
      <c r="L379" s="113"/>
      <c r="M379" s="113"/>
      <c r="N379" s="113"/>
      <c r="O379" s="110"/>
      <c r="P379" s="110"/>
      <c r="Q379" s="110"/>
      <c r="R379" s="110"/>
    </row>
    <row r="380" spans="2:18" x14ac:dyDescent="0.2">
      <c r="B380" s="110"/>
      <c r="C380" s="110"/>
      <c r="D380" s="110"/>
      <c r="E380" s="110"/>
      <c r="F380" s="113"/>
      <c r="G380" s="110"/>
      <c r="H380" s="110"/>
      <c r="I380" s="113"/>
      <c r="J380" s="113"/>
      <c r="K380" s="113"/>
      <c r="L380" s="113"/>
      <c r="M380" s="113"/>
      <c r="N380" s="113"/>
      <c r="O380" s="110"/>
      <c r="P380" s="110"/>
      <c r="Q380" s="110"/>
      <c r="R380" s="110"/>
    </row>
  </sheetData>
  <sheetProtection algorithmName="SHA-512" hashValue="uzBdFOKHZGNg/ut87XnxKLf1kveO5UDL6/6tUZPKYv0nXfHNsiGvO/pl3nq9e4q5YUVIEo4dQ/lbTmIXL9l0ig==" saltValue="z6xEgoJSfLuc8AQVKmnUnA==" spinCount="100000" sheet="1" objects="1" scenarios="1"/>
  <phoneticPr fontId="0" type="noConversion"/>
  <pageMargins left="0.74803149606299213" right="0.74803149606299213" top="0.98425196850393704" bottom="0.98425196850393704" header="0.51181102362204722" footer="0.51181102362204722"/>
  <pageSetup paperSize="9" scale="50"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110" min="1" max="15" man="1"/>
    <brk id="231" min="1" max="13" man="1"/>
    <brk id="309" min="1" max="13"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K72"/>
  <sheetViews>
    <sheetView showGridLines="0" zoomScale="85" zoomScaleNormal="85" workbookViewId="0">
      <selection activeCell="B2" sqref="B2"/>
    </sheetView>
  </sheetViews>
  <sheetFormatPr defaultRowHeight="12.75" x14ac:dyDescent="0.2"/>
  <cols>
    <col min="1" max="1" width="3.7109375" style="110" customWidth="1"/>
    <col min="2" max="3" width="2.7109375" style="110" customWidth="1"/>
    <col min="4" max="4" width="23.85546875" style="111" customWidth="1"/>
    <col min="5" max="5" width="22.7109375" style="111" customWidth="1"/>
    <col min="6" max="9" width="10.7109375" style="113" customWidth="1"/>
    <col min="10" max="10" width="0.85546875" style="110" customWidth="1"/>
    <col min="11" max="11" width="12.7109375" style="110" hidden="1" customWidth="1"/>
    <col min="12" max="13" width="12.7109375" style="110" customWidth="1"/>
    <col min="14" max="14" width="12.85546875" style="110" customWidth="1"/>
    <col min="15" max="15" width="13.85546875" style="110" customWidth="1"/>
    <col min="16" max="16" width="0.85546875" style="110" customWidth="1"/>
    <col min="17" max="25" width="10.7109375" style="110" customWidth="1"/>
    <col min="26" max="26" width="0.85546875" style="110" customWidth="1"/>
    <col min="27" max="27" width="10.7109375" style="11" customWidth="1"/>
    <col min="28" max="35" width="10.7109375" style="110" customWidth="1"/>
    <col min="36" max="37" width="2.7109375" style="110" customWidth="1"/>
    <col min="38" max="16384" width="9.140625" style="110"/>
  </cols>
  <sheetData>
    <row r="2" spans="2:37" x14ac:dyDescent="0.2">
      <c r="B2" s="72"/>
      <c r="C2" s="73"/>
      <c r="D2" s="127"/>
      <c r="E2" s="127"/>
      <c r="F2" s="74"/>
      <c r="G2" s="74"/>
      <c r="H2" s="74"/>
      <c r="I2" s="74"/>
      <c r="J2" s="73"/>
      <c r="K2" s="73"/>
      <c r="L2" s="73"/>
      <c r="M2" s="73"/>
      <c r="N2" s="73"/>
      <c r="O2" s="73"/>
      <c r="P2" s="73"/>
      <c r="Q2" s="73"/>
      <c r="R2" s="73"/>
      <c r="S2" s="73"/>
      <c r="T2" s="73"/>
      <c r="U2" s="73"/>
      <c r="V2" s="73"/>
      <c r="W2" s="73"/>
      <c r="X2" s="73"/>
      <c r="Y2" s="73"/>
      <c r="Z2" s="75"/>
      <c r="AA2" s="1497"/>
      <c r="AB2" s="73"/>
      <c r="AC2" s="73"/>
      <c r="AD2" s="73"/>
      <c r="AE2" s="73"/>
      <c r="AF2" s="73"/>
      <c r="AG2" s="73"/>
      <c r="AH2" s="73"/>
      <c r="AI2" s="73"/>
      <c r="AJ2" s="73"/>
      <c r="AK2" s="75"/>
    </row>
    <row r="3" spans="2:37" x14ac:dyDescent="0.2">
      <c r="B3" s="76"/>
      <c r="C3" s="77"/>
      <c r="D3" s="121"/>
      <c r="E3" s="121"/>
      <c r="F3" s="70"/>
      <c r="G3" s="70"/>
      <c r="H3" s="70"/>
      <c r="I3" s="70"/>
      <c r="J3" s="77"/>
      <c r="K3" s="77"/>
      <c r="L3" s="77"/>
      <c r="M3" s="77"/>
      <c r="N3" s="77"/>
      <c r="O3" s="77"/>
      <c r="P3" s="77"/>
      <c r="Q3" s="77"/>
      <c r="R3" s="77"/>
      <c r="S3" s="77"/>
      <c r="T3" s="77"/>
      <c r="U3" s="77"/>
      <c r="V3" s="77"/>
      <c r="W3" s="77"/>
      <c r="X3" s="77"/>
      <c r="Y3" s="77"/>
      <c r="Z3" s="78"/>
      <c r="AA3" s="56"/>
      <c r="AB3" s="77"/>
      <c r="AC3" s="77"/>
      <c r="AD3" s="77"/>
      <c r="AE3" s="77"/>
      <c r="AF3" s="77"/>
      <c r="AG3" s="77"/>
      <c r="AH3" s="77"/>
      <c r="AI3" s="77"/>
      <c r="AJ3" s="77"/>
      <c r="AK3" s="78"/>
    </row>
    <row r="4" spans="2:37" s="167" customFormat="1" ht="18" customHeight="1" x14ac:dyDescent="0.3">
      <c r="B4" s="421"/>
      <c r="C4" s="620" t="s">
        <v>68</v>
      </c>
      <c r="D4" s="306"/>
      <c r="E4" s="306"/>
      <c r="F4" s="422"/>
      <c r="G4" s="422"/>
      <c r="H4" s="422"/>
      <c r="I4" s="422"/>
      <c r="J4" s="176"/>
      <c r="K4" s="176"/>
      <c r="L4" s="176"/>
      <c r="M4" s="176"/>
      <c r="N4" s="176"/>
      <c r="O4" s="176"/>
      <c r="P4" s="176"/>
      <c r="Q4" s="176"/>
      <c r="R4" s="176"/>
      <c r="S4" s="176"/>
      <c r="T4" s="176"/>
      <c r="U4" s="176"/>
      <c r="V4" s="176"/>
      <c r="W4" s="176"/>
      <c r="X4" s="176"/>
      <c r="Y4" s="176"/>
      <c r="Z4" s="424"/>
      <c r="AA4" s="423"/>
      <c r="AB4" s="176"/>
      <c r="AC4" s="176"/>
      <c r="AD4" s="176"/>
      <c r="AE4" s="176"/>
      <c r="AF4" s="176"/>
      <c r="AG4" s="176"/>
      <c r="AH4" s="176"/>
      <c r="AI4" s="176"/>
      <c r="AJ4" s="176"/>
      <c r="AK4" s="424"/>
    </row>
    <row r="5" spans="2:37" x14ac:dyDescent="0.2">
      <c r="B5" s="76"/>
      <c r="C5" s="56"/>
      <c r="D5" s="121"/>
      <c r="E5" s="121"/>
      <c r="F5" s="70"/>
      <c r="G5" s="70"/>
      <c r="H5" s="70"/>
      <c r="I5" s="70"/>
      <c r="J5" s="425"/>
      <c r="K5" s="77"/>
      <c r="L5" s="124"/>
      <c r="M5" s="426"/>
      <c r="N5" s="124"/>
      <c r="O5" s="77"/>
      <c r="P5" s="77"/>
      <c r="Q5" s="427"/>
      <c r="R5" s="427"/>
      <c r="S5" s="427"/>
      <c r="T5" s="427"/>
      <c r="U5" s="427"/>
      <c r="V5" s="427"/>
      <c r="W5" s="427"/>
      <c r="X5" s="427"/>
      <c r="Y5" s="427"/>
      <c r="Z5" s="78"/>
      <c r="AA5" s="427"/>
      <c r="AB5" s="427"/>
      <c r="AC5" s="427"/>
      <c r="AD5" s="427"/>
      <c r="AE5" s="77"/>
      <c r="AF5" s="77"/>
      <c r="AG5" s="77"/>
      <c r="AH5" s="77"/>
      <c r="AI5" s="77"/>
      <c r="AJ5" s="77"/>
      <c r="AK5" s="78"/>
    </row>
    <row r="6" spans="2:37" s="10" customFormat="1" ht="18" customHeight="1" x14ac:dyDescent="0.3">
      <c r="B6" s="130"/>
      <c r="C6" s="406" t="str">
        <f>'geg LO'!C5</f>
        <v xml:space="preserve">SWV VO </v>
      </c>
      <c r="D6" s="88"/>
      <c r="E6" s="88"/>
      <c r="F6" s="87"/>
      <c r="G6" s="87"/>
      <c r="H6" s="87"/>
      <c r="I6" s="87"/>
      <c r="J6" s="58"/>
      <c r="K6" s="58"/>
      <c r="L6" s="58"/>
      <c r="M6" s="58"/>
      <c r="N6" s="58"/>
      <c r="O6" s="58"/>
      <c r="P6" s="58"/>
      <c r="Q6" s="58"/>
      <c r="R6" s="58"/>
      <c r="S6" s="58"/>
      <c r="T6" s="58"/>
      <c r="U6" s="58"/>
      <c r="V6" s="58"/>
      <c r="W6" s="58"/>
      <c r="X6" s="58"/>
      <c r="Y6" s="58"/>
      <c r="Z6" s="89"/>
      <c r="AA6" s="428"/>
      <c r="AB6" s="58"/>
      <c r="AC6" s="58"/>
      <c r="AD6" s="58"/>
      <c r="AE6" s="58"/>
      <c r="AF6" s="58"/>
      <c r="AG6" s="58"/>
      <c r="AH6" s="58"/>
      <c r="AI6" s="58"/>
      <c r="AJ6" s="58"/>
      <c r="AK6" s="89"/>
    </row>
    <row r="7" spans="2:37" x14ac:dyDescent="0.2">
      <c r="B7" s="76"/>
      <c r="C7" s="77"/>
      <c r="D7" s="121"/>
      <c r="E7" s="121"/>
      <c r="F7" s="70"/>
      <c r="G7" s="70"/>
      <c r="H7" s="70"/>
      <c r="I7" s="70"/>
      <c r="J7" s="77"/>
      <c r="K7" s="77"/>
      <c r="L7" s="77"/>
      <c r="M7" s="426"/>
      <c r="N7" s="124"/>
      <c r="O7" s="77"/>
      <c r="P7" s="77"/>
      <c r="Q7" s="429"/>
      <c r="R7" s="429"/>
      <c r="S7" s="397"/>
      <c r="T7" s="430"/>
      <c r="U7" s="430"/>
      <c r="V7" s="430"/>
      <c r="W7" s="430"/>
      <c r="X7" s="430"/>
      <c r="Y7" s="430"/>
      <c r="Z7" s="1503"/>
      <c r="AA7" s="154"/>
      <c r="AB7" s="154"/>
      <c r="AC7" s="397"/>
      <c r="AD7" s="77"/>
      <c r="AE7" s="77"/>
      <c r="AF7" s="77"/>
      <c r="AG7" s="77"/>
      <c r="AH7" s="77"/>
      <c r="AI7" s="77"/>
      <c r="AJ7" s="77"/>
      <c r="AK7" s="78"/>
    </row>
    <row r="8" spans="2:37" s="264" customFormat="1" x14ac:dyDescent="0.2">
      <c r="B8" s="431"/>
      <c r="C8" s="94"/>
      <c r="D8" s="631" t="s">
        <v>164</v>
      </c>
      <c r="E8" s="631" t="s">
        <v>165</v>
      </c>
      <c r="F8" s="619" t="s">
        <v>166</v>
      </c>
      <c r="G8" s="619" t="s">
        <v>167</v>
      </c>
      <c r="H8" s="619" t="s">
        <v>168</v>
      </c>
      <c r="I8" s="619" t="s">
        <v>169</v>
      </c>
      <c r="J8" s="619"/>
      <c r="K8" s="619" t="s">
        <v>170</v>
      </c>
      <c r="L8" s="619" t="s">
        <v>171</v>
      </c>
      <c r="M8" s="619" t="s">
        <v>172</v>
      </c>
      <c r="N8" s="632" t="s">
        <v>173</v>
      </c>
      <c r="O8" s="94" t="s">
        <v>891</v>
      </c>
      <c r="P8" s="619"/>
      <c r="Q8" s="619">
        <f>O9</f>
        <v>2015</v>
      </c>
      <c r="R8" s="633">
        <f>Q8+1</f>
        <v>2016</v>
      </c>
      <c r="S8" s="633">
        <f>Q8+2</f>
        <v>2017</v>
      </c>
      <c r="T8" s="634">
        <f t="shared" ref="T8:Y8" si="0">Q8+3</f>
        <v>2018</v>
      </c>
      <c r="U8" s="634">
        <f t="shared" si="0"/>
        <v>2019</v>
      </c>
      <c r="V8" s="634">
        <f t="shared" si="0"/>
        <v>2020</v>
      </c>
      <c r="W8" s="634">
        <f t="shared" si="0"/>
        <v>2021</v>
      </c>
      <c r="X8" s="634">
        <f t="shared" si="0"/>
        <v>2022</v>
      </c>
      <c r="Y8" s="634">
        <f t="shared" si="0"/>
        <v>2023</v>
      </c>
      <c r="Z8" s="1504"/>
      <c r="AA8" s="619">
        <f t="shared" ref="AA8:AG8" si="1">Q8</f>
        <v>2015</v>
      </c>
      <c r="AB8" s="619">
        <f t="shared" si="1"/>
        <v>2016</v>
      </c>
      <c r="AC8" s="619">
        <f t="shared" si="1"/>
        <v>2017</v>
      </c>
      <c r="AD8" s="619">
        <f t="shared" si="1"/>
        <v>2018</v>
      </c>
      <c r="AE8" s="619">
        <f t="shared" si="1"/>
        <v>2019</v>
      </c>
      <c r="AF8" s="619">
        <f t="shared" si="1"/>
        <v>2020</v>
      </c>
      <c r="AG8" s="619">
        <f t="shared" si="1"/>
        <v>2021</v>
      </c>
      <c r="AH8" s="619">
        <f>X8</f>
        <v>2022</v>
      </c>
      <c r="AI8" s="619">
        <f>Y8</f>
        <v>2023</v>
      </c>
      <c r="AJ8" s="94"/>
      <c r="AK8" s="432"/>
    </row>
    <row r="9" spans="2:37" s="264" customFormat="1" x14ac:dyDescent="0.2">
      <c r="B9" s="431"/>
      <c r="C9" s="94"/>
      <c r="D9" s="631"/>
      <c r="E9" s="631"/>
      <c r="F9" s="619" t="s">
        <v>174</v>
      </c>
      <c r="G9" s="619" t="s">
        <v>175</v>
      </c>
      <c r="H9" s="619" t="s">
        <v>176</v>
      </c>
      <c r="I9" s="619" t="s">
        <v>177</v>
      </c>
      <c r="J9" s="619"/>
      <c r="K9" s="619"/>
      <c r="L9" s="619" t="s">
        <v>178</v>
      </c>
      <c r="M9" s="619" t="s">
        <v>179</v>
      </c>
      <c r="N9" s="632" t="s">
        <v>172</v>
      </c>
      <c r="O9" s="634">
        <f>tab!E4</f>
        <v>2015</v>
      </c>
      <c r="P9" s="619"/>
      <c r="Q9" s="619" t="s">
        <v>172</v>
      </c>
      <c r="R9" s="619" t="s">
        <v>172</v>
      </c>
      <c r="S9" s="619" t="s">
        <v>172</v>
      </c>
      <c r="T9" s="619" t="s">
        <v>172</v>
      </c>
      <c r="U9" s="619" t="s">
        <v>172</v>
      </c>
      <c r="V9" s="619" t="s">
        <v>172</v>
      </c>
      <c r="W9" s="619" t="s">
        <v>172</v>
      </c>
      <c r="X9" s="619" t="s">
        <v>172</v>
      </c>
      <c r="Y9" s="619" t="s">
        <v>172</v>
      </c>
      <c r="Z9" s="1504"/>
      <c r="AA9" s="619" t="s">
        <v>180</v>
      </c>
      <c r="AB9" s="619" t="s">
        <v>180</v>
      </c>
      <c r="AC9" s="619" t="s">
        <v>180</v>
      </c>
      <c r="AD9" s="619" t="s">
        <v>180</v>
      </c>
      <c r="AE9" s="619" t="s">
        <v>180</v>
      </c>
      <c r="AF9" s="619" t="s">
        <v>180</v>
      </c>
      <c r="AG9" s="619" t="s">
        <v>180</v>
      </c>
      <c r="AH9" s="619" t="s">
        <v>180</v>
      </c>
      <c r="AI9" s="619" t="s">
        <v>180</v>
      </c>
      <c r="AJ9" s="94"/>
      <c r="AK9" s="432"/>
    </row>
    <row r="10" spans="2:37" s="419" customFormat="1" x14ac:dyDescent="0.2">
      <c r="B10" s="433"/>
      <c r="C10" s="427"/>
      <c r="D10" s="64"/>
      <c r="E10" s="64"/>
      <c r="F10" s="427"/>
      <c r="G10" s="427"/>
      <c r="H10" s="427"/>
      <c r="I10" s="427"/>
      <c r="J10" s="427"/>
      <c r="K10" s="427"/>
      <c r="L10" s="427"/>
      <c r="M10" s="427"/>
      <c r="N10" s="346"/>
      <c r="O10" s="346"/>
      <c r="P10" s="427"/>
      <c r="Q10" s="427"/>
      <c r="R10" s="427"/>
      <c r="S10" s="427"/>
      <c r="T10" s="427"/>
      <c r="U10" s="427"/>
      <c r="V10" s="427"/>
      <c r="W10" s="427"/>
      <c r="X10" s="427"/>
      <c r="Y10" s="427"/>
      <c r="Z10" s="434"/>
      <c r="AA10" s="427"/>
      <c r="AB10" s="427"/>
      <c r="AC10" s="427"/>
      <c r="AD10" s="427"/>
      <c r="AE10" s="427"/>
      <c r="AF10" s="427"/>
      <c r="AG10" s="427"/>
      <c r="AH10" s="427"/>
      <c r="AI10" s="427"/>
      <c r="AJ10" s="427"/>
      <c r="AK10" s="434"/>
    </row>
    <row r="11" spans="2:37" s="419" customFormat="1" x14ac:dyDescent="0.2">
      <c r="B11" s="433"/>
      <c r="C11" s="211"/>
      <c r="D11" s="435"/>
      <c r="E11" s="435"/>
      <c r="F11" s="211"/>
      <c r="G11" s="211"/>
      <c r="H11" s="211"/>
      <c r="I11" s="211"/>
      <c r="J11" s="211"/>
      <c r="K11" s="211"/>
      <c r="L11" s="211"/>
      <c r="M11" s="211"/>
      <c r="N11" s="368"/>
      <c r="O11" s="436"/>
      <c r="P11" s="71"/>
      <c r="Q11" s="71"/>
      <c r="R11" s="71"/>
      <c r="S11" s="71"/>
      <c r="T11" s="71"/>
      <c r="U11" s="71"/>
      <c r="V11" s="71"/>
      <c r="W11" s="71"/>
      <c r="X11" s="71"/>
      <c r="Y11" s="71"/>
      <c r="Z11" s="1505"/>
      <c r="AA11" s="150"/>
      <c r="AB11" s="71"/>
      <c r="AC11" s="71"/>
      <c r="AD11" s="71"/>
      <c r="AE11" s="71"/>
      <c r="AF11" s="71"/>
      <c r="AG11" s="71"/>
      <c r="AH11" s="71"/>
      <c r="AI11" s="71"/>
      <c r="AJ11" s="211"/>
      <c r="AK11" s="434"/>
    </row>
    <row r="12" spans="2:37" s="419" customFormat="1" x14ac:dyDescent="0.2">
      <c r="B12" s="433"/>
      <c r="C12" s="211"/>
      <c r="D12" s="435"/>
      <c r="E12" s="435"/>
      <c r="F12" s="211"/>
      <c r="G12" s="211"/>
      <c r="H12" s="211"/>
      <c r="I12" s="211"/>
      <c r="J12" s="211"/>
      <c r="K12" s="211"/>
      <c r="L12" s="211"/>
      <c r="M12" s="211"/>
      <c r="N12" s="368"/>
      <c r="O12" s="563">
        <f>SUM(O14:O70)</f>
        <v>0</v>
      </c>
      <c r="P12" s="71"/>
      <c r="Q12" s="563">
        <f t="shared" ref="Q12:Y12" si="2">SUM(Q14:Q70)</f>
        <v>0</v>
      </c>
      <c r="R12" s="563">
        <f t="shared" si="2"/>
        <v>0</v>
      </c>
      <c r="S12" s="563">
        <f t="shared" si="2"/>
        <v>0</v>
      </c>
      <c r="T12" s="563">
        <f t="shared" si="2"/>
        <v>0</v>
      </c>
      <c r="U12" s="563">
        <f t="shared" si="2"/>
        <v>0</v>
      </c>
      <c r="V12" s="563">
        <f t="shared" si="2"/>
        <v>0</v>
      </c>
      <c r="W12" s="563">
        <f t="shared" si="2"/>
        <v>0</v>
      </c>
      <c r="X12" s="563">
        <f t="shared" si="2"/>
        <v>0</v>
      </c>
      <c r="Y12" s="563">
        <f t="shared" si="2"/>
        <v>0</v>
      </c>
      <c r="Z12" s="1505"/>
      <c r="AA12" s="1498">
        <f t="shared" ref="AA12:AI12" si="3">SUM(AA14:AA70)</f>
        <v>0</v>
      </c>
      <c r="AB12" s="563">
        <f t="shared" si="3"/>
        <v>0</v>
      </c>
      <c r="AC12" s="563">
        <f t="shared" si="3"/>
        <v>0</v>
      </c>
      <c r="AD12" s="563">
        <f t="shared" si="3"/>
        <v>0</v>
      </c>
      <c r="AE12" s="563">
        <f t="shared" si="3"/>
        <v>0</v>
      </c>
      <c r="AF12" s="563">
        <f t="shared" si="3"/>
        <v>0</v>
      </c>
      <c r="AG12" s="563">
        <f t="shared" si="3"/>
        <v>0</v>
      </c>
      <c r="AH12" s="563">
        <f t="shared" si="3"/>
        <v>0</v>
      </c>
      <c r="AI12" s="563">
        <f t="shared" si="3"/>
        <v>0</v>
      </c>
      <c r="AJ12" s="211"/>
      <c r="AK12" s="434"/>
    </row>
    <row r="13" spans="2:37" s="419" customFormat="1" x14ac:dyDescent="0.2">
      <c r="B13" s="433"/>
      <c r="C13" s="211"/>
      <c r="D13" s="435"/>
      <c r="E13" s="435"/>
      <c r="F13" s="211"/>
      <c r="G13" s="211"/>
      <c r="H13" s="211"/>
      <c r="I13" s="211"/>
      <c r="J13" s="211"/>
      <c r="K13" s="211"/>
      <c r="L13" s="211"/>
      <c r="M13" s="211"/>
      <c r="N13" s="368"/>
      <c r="O13" s="436"/>
      <c r="P13" s="71"/>
      <c r="Q13" s="71"/>
      <c r="R13" s="71"/>
      <c r="S13" s="71"/>
      <c r="T13" s="71"/>
      <c r="U13" s="71"/>
      <c r="V13" s="71"/>
      <c r="W13" s="71"/>
      <c r="X13" s="71"/>
      <c r="Y13" s="71"/>
      <c r="Z13" s="1505"/>
      <c r="AA13" s="150"/>
      <c r="AB13" s="71"/>
      <c r="AC13" s="71"/>
      <c r="AD13" s="71"/>
      <c r="AE13" s="71"/>
      <c r="AF13" s="71"/>
      <c r="AG13" s="71"/>
      <c r="AH13" s="71"/>
      <c r="AI13" s="71"/>
      <c r="AJ13" s="211"/>
      <c r="AK13" s="434"/>
    </row>
    <row r="14" spans="2:37" x14ac:dyDescent="0.2">
      <c r="B14" s="76"/>
      <c r="C14" s="191"/>
      <c r="D14" s="151"/>
      <c r="E14" s="151"/>
      <c r="F14" s="152"/>
      <c r="G14" s="67"/>
      <c r="H14" s="152"/>
      <c r="I14" s="152"/>
      <c r="J14" s="191"/>
      <c r="K14" s="71">
        <f t="shared" ref="K14:K45" si="4">IF(I14="geen",9999999999,I14)</f>
        <v>0</v>
      </c>
      <c r="L14" s="68">
        <f t="shared" ref="L14:L45" si="5">F14*G14</f>
        <v>0</v>
      </c>
      <c r="M14" s="68">
        <f t="shared" ref="M14:M45" si="6">IF(F14=0,0,(F14*G14)/K14)</f>
        <v>0</v>
      </c>
      <c r="N14" s="560" t="str">
        <f t="shared" ref="N14:N45" si="7">IF(K14=0,"-",(IF(K14&gt;3000,"-",H14+K14-1)))</f>
        <v>-</v>
      </c>
      <c r="O14" s="68">
        <f t="shared" ref="O14:O45" si="8">IF(I14="geen",IF(H14&lt;$Q$8,F14*G14,0),IF(H14&gt;=$Q$8,0,IF((G14*F14-(Q$8-H14)*M14)&lt;0,0,G14*F14-(Q$8-H14)*M14)))</f>
        <v>0</v>
      </c>
      <c r="P14" s="191"/>
      <c r="Q14" s="68">
        <f t="shared" ref="Q14:R33" si="9">(IF(Q$8&lt;$H14,0,IF($N14&lt;=Q$8-1,0,$M14)))</f>
        <v>0</v>
      </c>
      <c r="R14" s="68">
        <f t="shared" si="9"/>
        <v>0</v>
      </c>
      <c r="S14" s="68">
        <f t="shared" ref="S14:S45" si="10">IF(S$8&lt;$H14,0,IF($N14&lt;=S$8-1,0,$M14))</f>
        <v>0</v>
      </c>
      <c r="T14" s="68">
        <f t="shared" ref="T14:Y33" si="11">(IF(T$8&lt;$H14,0,IF($N14&lt;=T$8-1,0,$M14)))</f>
        <v>0</v>
      </c>
      <c r="U14" s="68">
        <f t="shared" si="11"/>
        <v>0</v>
      </c>
      <c r="V14" s="68">
        <f t="shared" si="11"/>
        <v>0</v>
      </c>
      <c r="W14" s="68">
        <f t="shared" si="11"/>
        <v>0</v>
      </c>
      <c r="X14" s="68">
        <f t="shared" si="11"/>
        <v>0</v>
      </c>
      <c r="Y14" s="68">
        <f t="shared" si="11"/>
        <v>0</v>
      </c>
      <c r="Z14" s="1506"/>
      <c r="AA14" s="1499">
        <f t="shared" ref="AA14:AI23" si="12">IF(AA$8=$H14,($F14*$G14),0)</f>
        <v>0</v>
      </c>
      <c r="AB14" s="68">
        <f t="shared" si="12"/>
        <v>0</v>
      </c>
      <c r="AC14" s="68">
        <f t="shared" si="12"/>
        <v>0</v>
      </c>
      <c r="AD14" s="68">
        <f t="shared" si="12"/>
        <v>0</v>
      </c>
      <c r="AE14" s="68">
        <f t="shared" si="12"/>
        <v>0</v>
      </c>
      <c r="AF14" s="68">
        <f t="shared" si="12"/>
        <v>0</v>
      </c>
      <c r="AG14" s="68">
        <f t="shared" si="12"/>
        <v>0</v>
      </c>
      <c r="AH14" s="68">
        <f t="shared" si="12"/>
        <v>0</v>
      </c>
      <c r="AI14" s="68">
        <f t="shared" si="12"/>
        <v>0</v>
      </c>
      <c r="AJ14" s="191"/>
      <c r="AK14" s="78"/>
    </row>
    <row r="15" spans="2:37" x14ac:dyDescent="0.2">
      <c r="B15" s="76"/>
      <c r="C15" s="191"/>
      <c r="D15" s="151"/>
      <c r="E15" s="151"/>
      <c r="F15" s="152"/>
      <c r="G15" s="67"/>
      <c r="H15" s="152"/>
      <c r="I15" s="152"/>
      <c r="J15" s="191"/>
      <c r="K15" s="71">
        <f t="shared" si="4"/>
        <v>0</v>
      </c>
      <c r="L15" s="68">
        <f t="shared" si="5"/>
        <v>0</v>
      </c>
      <c r="M15" s="68">
        <f t="shared" si="6"/>
        <v>0</v>
      </c>
      <c r="N15" s="560" t="str">
        <f t="shared" si="7"/>
        <v>-</v>
      </c>
      <c r="O15" s="68">
        <f t="shared" si="8"/>
        <v>0</v>
      </c>
      <c r="P15" s="191"/>
      <c r="Q15" s="68">
        <f t="shared" si="9"/>
        <v>0</v>
      </c>
      <c r="R15" s="68">
        <f t="shared" si="9"/>
        <v>0</v>
      </c>
      <c r="S15" s="68">
        <f t="shared" si="10"/>
        <v>0</v>
      </c>
      <c r="T15" s="68">
        <f t="shared" si="11"/>
        <v>0</v>
      </c>
      <c r="U15" s="68">
        <f t="shared" si="11"/>
        <v>0</v>
      </c>
      <c r="V15" s="68">
        <f t="shared" si="11"/>
        <v>0</v>
      </c>
      <c r="W15" s="68">
        <f t="shared" si="11"/>
        <v>0</v>
      </c>
      <c r="X15" s="68">
        <f t="shared" si="11"/>
        <v>0</v>
      </c>
      <c r="Y15" s="68">
        <f t="shared" si="11"/>
        <v>0</v>
      </c>
      <c r="Z15" s="1506"/>
      <c r="AA15" s="1499">
        <f t="shared" si="12"/>
        <v>0</v>
      </c>
      <c r="AB15" s="68">
        <f t="shared" si="12"/>
        <v>0</v>
      </c>
      <c r="AC15" s="68">
        <f t="shared" si="12"/>
        <v>0</v>
      </c>
      <c r="AD15" s="68">
        <f t="shared" si="12"/>
        <v>0</v>
      </c>
      <c r="AE15" s="68">
        <f t="shared" si="12"/>
        <v>0</v>
      </c>
      <c r="AF15" s="68">
        <f t="shared" si="12"/>
        <v>0</v>
      </c>
      <c r="AG15" s="68">
        <f t="shared" si="12"/>
        <v>0</v>
      </c>
      <c r="AH15" s="68">
        <f t="shared" si="12"/>
        <v>0</v>
      </c>
      <c r="AI15" s="68">
        <f t="shared" si="12"/>
        <v>0</v>
      </c>
      <c r="AJ15" s="191"/>
      <c r="AK15" s="78"/>
    </row>
    <row r="16" spans="2:37" x14ac:dyDescent="0.2">
      <c r="B16" s="76"/>
      <c r="C16" s="191"/>
      <c r="D16" s="151"/>
      <c r="E16" s="151"/>
      <c r="F16" s="152"/>
      <c r="G16" s="67"/>
      <c r="H16" s="152"/>
      <c r="I16" s="152"/>
      <c r="J16" s="191"/>
      <c r="K16" s="71">
        <f t="shared" si="4"/>
        <v>0</v>
      </c>
      <c r="L16" s="68">
        <f t="shared" si="5"/>
        <v>0</v>
      </c>
      <c r="M16" s="68">
        <f t="shared" si="6"/>
        <v>0</v>
      </c>
      <c r="N16" s="560" t="str">
        <f t="shared" si="7"/>
        <v>-</v>
      </c>
      <c r="O16" s="68">
        <f t="shared" si="8"/>
        <v>0</v>
      </c>
      <c r="P16" s="191"/>
      <c r="Q16" s="68">
        <f t="shared" si="9"/>
        <v>0</v>
      </c>
      <c r="R16" s="68">
        <f t="shared" si="9"/>
        <v>0</v>
      </c>
      <c r="S16" s="68">
        <f t="shared" si="10"/>
        <v>0</v>
      </c>
      <c r="T16" s="68">
        <f t="shared" si="11"/>
        <v>0</v>
      </c>
      <c r="U16" s="68">
        <f t="shared" si="11"/>
        <v>0</v>
      </c>
      <c r="V16" s="68">
        <f t="shared" si="11"/>
        <v>0</v>
      </c>
      <c r="W16" s="68">
        <f t="shared" si="11"/>
        <v>0</v>
      </c>
      <c r="X16" s="68">
        <f t="shared" si="11"/>
        <v>0</v>
      </c>
      <c r="Y16" s="68">
        <f t="shared" si="11"/>
        <v>0</v>
      </c>
      <c r="Z16" s="1506"/>
      <c r="AA16" s="1499">
        <f t="shared" si="12"/>
        <v>0</v>
      </c>
      <c r="AB16" s="68">
        <f t="shared" si="12"/>
        <v>0</v>
      </c>
      <c r="AC16" s="68">
        <f t="shared" si="12"/>
        <v>0</v>
      </c>
      <c r="AD16" s="68">
        <f t="shared" si="12"/>
        <v>0</v>
      </c>
      <c r="AE16" s="68">
        <f t="shared" si="12"/>
        <v>0</v>
      </c>
      <c r="AF16" s="68">
        <f t="shared" si="12"/>
        <v>0</v>
      </c>
      <c r="AG16" s="68">
        <f t="shared" si="12"/>
        <v>0</v>
      </c>
      <c r="AH16" s="68">
        <f t="shared" si="12"/>
        <v>0</v>
      </c>
      <c r="AI16" s="68">
        <f t="shared" si="12"/>
        <v>0</v>
      </c>
      <c r="AJ16" s="191"/>
      <c r="AK16" s="78"/>
    </row>
    <row r="17" spans="2:37" x14ac:dyDescent="0.2">
      <c r="B17" s="76"/>
      <c r="C17" s="191"/>
      <c r="D17" s="151"/>
      <c r="E17" s="151"/>
      <c r="F17" s="152"/>
      <c r="G17" s="67"/>
      <c r="H17" s="152"/>
      <c r="I17" s="152"/>
      <c r="J17" s="191"/>
      <c r="K17" s="71">
        <f t="shared" si="4"/>
        <v>0</v>
      </c>
      <c r="L17" s="68">
        <f t="shared" si="5"/>
        <v>0</v>
      </c>
      <c r="M17" s="68">
        <f t="shared" si="6"/>
        <v>0</v>
      </c>
      <c r="N17" s="560" t="str">
        <f t="shared" si="7"/>
        <v>-</v>
      </c>
      <c r="O17" s="68">
        <f t="shared" si="8"/>
        <v>0</v>
      </c>
      <c r="P17" s="191"/>
      <c r="Q17" s="68">
        <f t="shared" si="9"/>
        <v>0</v>
      </c>
      <c r="R17" s="68">
        <f t="shared" si="9"/>
        <v>0</v>
      </c>
      <c r="S17" s="68">
        <f t="shared" si="10"/>
        <v>0</v>
      </c>
      <c r="T17" s="68">
        <f t="shared" si="11"/>
        <v>0</v>
      </c>
      <c r="U17" s="68">
        <f t="shared" si="11"/>
        <v>0</v>
      </c>
      <c r="V17" s="68">
        <f t="shared" si="11"/>
        <v>0</v>
      </c>
      <c r="W17" s="68">
        <f t="shared" si="11"/>
        <v>0</v>
      </c>
      <c r="X17" s="68">
        <f t="shared" si="11"/>
        <v>0</v>
      </c>
      <c r="Y17" s="68">
        <f t="shared" si="11"/>
        <v>0</v>
      </c>
      <c r="Z17" s="1506"/>
      <c r="AA17" s="1499">
        <f t="shared" si="12"/>
        <v>0</v>
      </c>
      <c r="AB17" s="68">
        <f t="shared" si="12"/>
        <v>0</v>
      </c>
      <c r="AC17" s="68">
        <f t="shared" si="12"/>
        <v>0</v>
      </c>
      <c r="AD17" s="68">
        <f t="shared" si="12"/>
        <v>0</v>
      </c>
      <c r="AE17" s="68">
        <f t="shared" si="12"/>
        <v>0</v>
      </c>
      <c r="AF17" s="68">
        <f t="shared" si="12"/>
        <v>0</v>
      </c>
      <c r="AG17" s="68">
        <f t="shared" si="12"/>
        <v>0</v>
      </c>
      <c r="AH17" s="68">
        <f t="shared" si="12"/>
        <v>0</v>
      </c>
      <c r="AI17" s="68">
        <f t="shared" si="12"/>
        <v>0</v>
      </c>
      <c r="AJ17" s="191"/>
      <c r="AK17" s="78"/>
    </row>
    <row r="18" spans="2:37" x14ac:dyDescent="0.2">
      <c r="B18" s="76"/>
      <c r="C18" s="191"/>
      <c r="D18" s="151"/>
      <c r="E18" s="151"/>
      <c r="F18" s="152"/>
      <c r="G18" s="67"/>
      <c r="H18" s="152"/>
      <c r="I18" s="152"/>
      <c r="J18" s="191"/>
      <c r="K18" s="71">
        <f t="shared" si="4"/>
        <v>0</v>
      </c>
      <c r="L18" s="68">
        <f t="shared" si="5"/>
        <v>0</v>
      </c>
      <c r="M18" s="68">
        <f t="shared" si="6"/>
        <v>0</v>
      </c>
      <c r="N18" s="560" t="str">
        <f t="shared" si="7"/>
        <v>-</v>
      </c>
      <c r="O18" s="68">
        <f t="shared" si="8"/>
        <v>0</v>
      </c>
      <c r="P18" s="191"/>
      <c r="Q18" s="68">
        <f t="shared" si="9"/>
        <v>0</v>
      </c>
      <c r="R18" s="68">
        <f t="shared" si="9"/>
        <v>0</v>
      </c>
      <c r="S18" s="68">
        <f t="shared" si="10"/>
        <v>0</v>
      </c>
      <c r="T18" s="68">
        <f t="shared" si="11"/>
        <v>0</v>
      </c>
      <c r="U18" s="68">
        <f t="shared" si="11"/>
        <v>0</v>
      </c>
      <c r="V18" s="68">
        <f t="shared" si="11"/>
        <v>0</v>
      </c>
      <c r="W18" s="68">
        <f t="shared" si="11"/>
        <v>0</v>
      </c>
      <c r="X18" s="68">
        <f t="shared" si="11"/>
        <v>0</v>
      </c>
      <c r="Y18" s="68">
        <f t="shared" si="11"/>
        <v>0</v>
      </c>
      <c r="Z18" s="1506"/>
      <c r="AA18" s="1499">
        <f t="shared" si="12"/>
        <v>0</v>
      </c>
      <c r="AB18" s="68">
        <f t="shared" si="12"/>
        <v>0</v>
      </c>
      <c r="AC18" s="68">
        <f t="shared" si="12"/>
        <v>0</v>
      </c>
      <c r="AD18" s="68">
        <f t="shared" si="12"/>
        <v>0</v>
      </c>
      <c r="AE18" s="68">
        <f t="shared" si="12"/>
        <v>0</v>
      </c>
      <c r="AF18" s="68">
        <f t="shared" si="12"/>
        <v>0</v>
      </c>
      <c r="AG18" s="68">
        <f t="shared" si="12"/>
        <v>0</v>
      </c>
      <c r="AH18" s="68">
        <f t="shared" si="12"/>
        <v>0</v>
      </c>
      <c r="AI18" s="68">
        <f t="shared" si="12"/>
        <v>0</v>
      </c>
      <c r="AJ18" s="191"/>
      <c r="AK18" s="78"/>
    </row>
    <row r="19" spans="2:37" x14ac:dyDescent="0.2">
      <c r="B19" s="76"/>
      <c r="C19" s="191"/>
      <c r="D19" s="151"/>
      <c r="E19" s="151"/>
      <c r="F19" s="152"/>
      <c r="G19" s="67"/>
      <c r="H19" s="152"/>
      <c r="I19" s="152"/>
      <c r="J19" s="191"/>
      <c r="K19" s="71">
        <f t="shared" si="4"/>
        <v>0</v>
      </c>
      <c r="L19" s="68">
        <f t="shared" si="5"/>
        <v>0</v>
      </c>
      <c r="M19" s="68">
        <f t="shared" si="6"/>
        <v>0</v>
      </c>
      <c r="N19" s="560" t="str">
        <f t="shared" si="7"/>
        <v>-</v>
      </c>
      <c r="O19" s="68">
        <f t="shared" si="8"/>
        <v>0</v>
      </c>
      <c r="P19" s="191"/>
      <c r="Q19" s="68">
        <f t="shared" si="9"/>
        <v>0</v>
      </c>
      <c r="R19" s="68">
        <f t="shared" si="9"/>
        <v>0</v>
      </c>
      <c r="S19" s="68">
        <f t="shared" si="10"/>
        <v>0</v>
      </c>
      <c r="T19" s="68">
        <f t="shared" si="11"/>
        <v>0</v>
      </c>
      <c r="U19" s="68">
        <f t="shared" si="11"/>
        <v>0</v>
      </c>
      <c r="V19" s="68">
        <f t="shared" si="11"/>
        <v>0</v>
      </c>
      <c r="W19" s="68">
        <f t="shared" si="11"/>
        <v>0</v>
      </c>
      <c r="X19" s="68">
        <f t="shared" si="11"/>
        <v>0</v>
      </c>
      <c r="Y19" s="68">
        <f t="shared" si="11"/>
        <v>0</v>
      </c>
      <c r="Z19" s="1506"/>
      <c r="AA19" s="1499">
        <f t="shared" si="12"/>
        <v>0</v>
      </c>
      <c r="AB19" s="68">
        <f t="shared" si="12"/>
        <v>0</v>
      </c>
      <c r="AC19" s="68">
        <f t="shared" si="12"/>
        <v>0</v>
      </c>
      <c r="AD19" s="68">
        <f t="shared" si="12"/>
        <v>0</v>
      </c>
      <c r="AE19" s="68">
        <f t="shared" si="12"/>
        <v>0</v>
      </c>
      <c r="AF19" s="68">
        <f t="shared" si="12"/>
        <v>0</v>
      </c>
      <c r="AG19" s="68">
        <f t="shared" si="12"/>
        <v>0</v>
      </c>
      <c r="AH19" s="68">
        <f t="shared" si="12"/>
        <v>0</v>
      </c>
      <c r="AI19" s="68">
        <f t="shared" si="12"/>
        <v>0</v>
      </c>
      <c r="AJ19" s="191"/>
      <c r="AK19" s="78"/>
    </row>
    <row r="20" spans="2:37" x14ac:dyDescent="0.2">
      <c r="B20" s="76"/>
      <c r="C20" s="191"/>
      <c r="D20" s="151"/>
      <c r="E20" s="151"/>
      <c r="F20" s="152"/>
      <c r="G20" s="67"/>
      <c r="H20" s="152"/>
      <c r="I20" s="152"/>
      <c r="J20" s="191"/>
      <c r="K20" s="71">
        <f t="shared" si="4"/>
        <v>0</v>
      </c>
      <c r="L20" s="68">
        <f t="shared" si="5"/>
        <v>0</v>
      </c>
      <c r="M20" s="68">
        <f t="shared" si="6"/>
        <v>0</v>
      </c>
      <c r="N20" s="560" t="str">
        <f t="shared" si="7"/>
        <v>-</v>
      </c>
      <c r="O20" s="68">
        <f t="shared" si="8"/>
        <v>0</v>
      </c>
      <c r="P20" s="191"/>
      <c r="Q20" s="68">
        <f t="shared" si="9"/>
        <v>0</v>
      </c>
      <c r="R20" s="68">
        <f t="shared" si="9"/>
        <v>0</v>
      </c>
      <c r="S20" s="68">
        <f t="shared" si="10"/>
        <v>0</v>
      </c>
      <c r="T20" s="68">
        <f t="shared" si="11"/>
        <v>0</v>
      </c>
      <c r="U20" s="68">
        <f t="shared" si="11"/>
        <v>0</v>
      </c>
      <c r="V20" s="68">
        <f t="shared" si="11"/>
        <v>0</v>
      </c>
      <c r="W20" s="68">
        <f t="shared" si="11"/>
        <v>0</v>
      </c>
      <c r="X20" s="68">
        <f t="shared" si="11"/>
        <v>0</v>
      </c>
      <c r="Y20" s="68">
        <f t="shared" si="11"/>
        <v>0</v>
      </c>
      <c r="Z20" s="1506"/>
      <c r="AA20" s="1499">
        <f t="shared" si="12"/>
        <v>0</v>
      </c>
      <c r="AB20" s="68">
        <f t="shared" si="12"/>
        <v>0</v>
      </c>
      <c r="AC20" s="68">
        <f t="shared" si="12"/>
        <v>0</v>
      </c>
      <c r="AD20" s="68">
        <f t="shared" si="12"/>
        <v>0</v>
      </c>
      <c r="AE20" s="68">
        <f t="shared" si="12"/>
        <v>0</v>
      </c>
      <c r="AF20" s="68">
        <f t="shared" si="12"/>
        <v>0</v>
      </c>
      <c r="AG20" s="68">
        <f t="shared" si="12"/>
        <v>0</v>
      </c>
      <c r="AH20" s="68">
        <f t="shared" si="12"/>
        <v>0</v>
      </c>
      <c r="AI20" s="68">
        <f t="shared" si="12"/>
        <v>0</v>
      </c>
      <c r="AJ20" s="191"/>
      <c r="AK20" s="78"/>
    </row>
    <row r="21" spans="2:37" x14ac:dyDescent="0.2">
      <c r="B21" s="76"/>
      <c r="C21" s="191"/>
      <c r="D21" s="151"/>
      <c r="E21" s="151"/>
      <c r="F21" s="152"/>
      <c r="G21" s="67"/>
      <c r="H21" s="152"/>
      <c r="I21" s="152"/>
      <c r="J21" s="191"/>
      <c r="K21" s="71">
        <f t="shared" si="4"/>
        <v>0</v>
      </c>
      <c r="L21" s="68">
        <f t="shared" si="5"/>
        <v>0</v>
      </c>
      <c r="M21" s="68">
        <f t="shared" si="6"/>
        <v>0</v>
      </c>
      <c r="N21" s="560" t="str">
        <f t="shared" si="7"/>
        <v>-</v>
      </c>
      <c r="O21" s="68">
        <f t="shared" si="8"/>
        <v>0</v>
      </c>
      <c r="P21" s="191"/>
      <c r="Q21" s="68">
        <f t="shared" si="9"/>
        <v>0</v>
      </c>
      <c r="R21" s="68">
        <f t="shared" si="9"/>
        <v>0</v>
      </c>
      <c r="S21" s="68">
        <f t="shared" si="10"/>
        <v>0</v>
      </c>
      <c r="T21" s="68">
        <f t="shared" si="11"/>
        <v>0</v>
      </c>
      <c r="U21" s="68">
        <f t="shared" si="11"/>
        <v>0</v>
      </c>
      <c r="V21" s="68">
        <f t="shared" si="11"/>
        <v>0</v>
      </c>
      <c r="W21" s="68">
        <f t="shared" si="11"/>
        <v>0</v>
      </c>
      <c r="X21" s="68">
        <f t="shared" si="11"/>
        <v>0</v>
      </c>
      <c r="Y21" s="68">
        <f t="shared" si="11"/>
        <v>0</v>
      </c>
      <c r="Z21" s="1506"/>
      <c r="AA21" s="1499">
        <f t="shared" si="12"/>
        <v>0</v>
      </c>
      <c r="AB21" s="68">
        <f t="shared" si="12"/>
        <v>0</v>
      </c>
      <c r="AC21" s="68">
        <f t="shared" si="12"/>
        <v>0</v>
      </c>
      <c r="AD21" s="68">
        <f t="shared" si="12"/>
        <v>0</v>
      </c>
      <c r="AE21" s="68">
        <f t="shared" si="12"/>
        <v>0</v>
      </c>
      <c r="AF21" s="68">
        <f t="shared" si="12"/>
        <v>0</v>
      </c>
      <c r="AG21" s="68">
        <f t="shared" si="12"/>
        <v>0</v>
      </c>
      <c r="AH21" s="68">
        <f t="shared" si="12"/>
        <v>0</v>
      </c>
      <c r="AI21" s="68">
        <f t="shared" si="12"/>
        <v>0</v>
      </c>
      <c r="AJ21" s="191"/>
      <c r="AK21" s="78"/>
    </row>
    <row r="22" spans="2:37" x14ac:dyDescent="0.2">
      <c r="B22" s="76"/>
      <c r="C22" s="191"/>
      <c r="D22" s="151"/>
      <c r="E22" s="151"/>
      <c r="F22" s="152"/>
      <c r="G22" s="67"/>
      <c r="H22" s="152"/>
      <c r="I22" s="152"/>
      <c r="J22" s="191"/>
      <c r="K22" s="71">
        <f t="shared" si="4"/>
        <v>0</v>
      </c>
      <c r="L22" s="68">
        <f t="shared" si="5"/>
        <v>0</v>
      </c>
      <c r="M22" s="68">
        <f t="shared" si="6"/>
        <v>0</v>
      </c>
      <c r="N22" s="560" t="str">
        <f t="shared" si="7"/>
        <v>-</v>
      </c>
      <c r="O22" s="68">
        <f t="shared" si="8"/>
        <v>0</v>
      </c>
      <c r="P22" s="191"/>
      <c r="Q22" s="68">
        <f t="shared" si="9"/>
        <v>0</v>
      </c>
      <c r="R22" s="68">
        <f t="shared" si="9"/>
        <v>0</v>
      </c>
      <c r="S22" s="68">
        <f t="shared" si="10"/>
        <v>0</v>
      </c>
      <c r="T22" s="68">
        <f t="shared" si="11"/>
        <v>0</v>
      </c>
      <c r="U22" s="68">
        <f t="shared" si="11"/>
        <v>0</v>
      </c>
      <c r="V22" s="68">
        <f t="shared" si="11"/>
        <v>0</v>
      </c>
      <c r="W22" s="68">
        <f t="shared" si="11"/>
        <v>0</v>
      </c>
      <c r="X22" s="68">
        <f t="shared" si="11"/>
        <v>0</v>
      </c>
      <c r="Y22" s="68">
        <f t="shared" si="11"/>
        <v>0</v>
      </c>
      <c r="Z22" s="1506"/>
      <c r="AA22" s="1499">
        <f t="shared" si="12"/>
        <v>0</v>
      </c>
      <c r="AB22" s="68">
        <f t="shared" si="12"/>
        <v>0</v>
      </c>
      <c r="AC22" s="68">
        <f t="shared" si="12"/>
        <v>0</v>
      </c>
      <c r="AD22" s="68">
        <f t="shared" si="12"/>
        <v>0</v>
      </c>
      <c r="AE22" s="68">
        <f t="shared" si="12"/>
        <v>0</v>
      </c>
      <c r="AF22" s="68">
        <f t="shared" si="12"/>
        <v>0</v>
      </c>
      <c r="AG22" s="68">
        <f t="shared" si="12"/>
        <v>0</v>
      </c>
      <c r="AH22" s="68">
        <f t="shared" si="12"/>
        <v>0</v>
      </c>
      <c r="AI22" s="68">
        <f t="shared" si="12"/>
        <v>0</v>
      </c>
      <c r="AJ22" s="191"/>
      <c r="AK22" s="78"/>
    </row>
    <row r="23" spans="2:37" x14ac:dyDescent="0.2">
      <c r="B23" s="76"/>
      <c r="C23" s="191"/>
      <c r="D23" s="151"/>
      <c r="E23" s="151"/>
      <c r="F23" s="152"/>
      <c r="G23" s="67"/>
      <c r="H23" s="152"/>
      <c r="I23" s="152"/>
      <c r="J23" s="191"/>
      <c r="K23" s="71">
        <f t="shared" si="4"/>
        <v>0</v>
      </c>
      <c r="L23" s="68">
        <f t="shared" si="5"/>
        <v>0</v>
      </c>
      <c r="M23" s="68">
        <f t="shared" si="6"/>
        <v>0</v>
      </c>
      <c r="N23" s="560" t="str">
        <f t="shared" si="7"/>
        <v>-</v>
      </c>
      <c r="O23" s="68">
        <f t="shared" si="8"/>
        <v>0</v>
      </c>
      <c r="P23" s="191"/>
      <c r="Q23" s="68">
        <f t="shared" si="9"/>
        <v>0</v>
      </c>
      <c r="R23" s="68">
        <f t="shared" si="9"/>
        <v>0</v>
      </c>
      <c r="S23" s="68">
        <f t="shared" si="10"/>
        <v>0</v>
      </c>
      <c r="T23" s="68">
        <f t="shared" si="11"/>
        <v>0</v>
      </c>
      <c r="U23" s="68">
        <f t="shared" si="11"/>
        <v>0</v>
      </c>
      <c r="V23" s="68">
        <f t="shared" si="11"/>
        <v>0</v>
      </c>
      <c r="W23" s="68">
        <f t="shared" si="11"/>
        <v>0</v>
      </c>
      <c r="X23" s="68">
        <f t="shared" si="11"/>
        <v>0</v>
      </c>
      <c r="Y23" s="68">
        <f t="shared" si="11"/>
        <v>0</v>
      </c>
      <c r="Z23" s="1506"/>
      <c r="AA23" s="1499">
        <f t="shared" si="12"/>
        <v>0</v>
      </c>
      <c r="AB23" s="68">
        <f t="shared" si="12"/>
        <v>0</v>
      </c>
      <c r="AC23" s="68">
        <f t="shared" si="12"/>
        <v>0</v>
      </c>
      <c r="AD23" s="68">
        <f t="shared" si="12"/>
        <v>0</v>
      </c>
      <c r="AE23" s="68">
        <f t="shared" si="12"/>
        <v>0</v>
      </c>
      <c r="AF23" s="68">
        <f t="shared" si="12"/>
        <v>0</v>
      </c>
      <c r="AG23" s="68">
        <f t="shared" si="12"/>
        <v>0</v>
      </c>
      <c r="AH23" s="68">
        <f t="shared" si="12"/>
        <v>0</v>
      </c>
      <c r="AI23" s="68">
        <f t="shared" si="12"/>
        <v>0</v>
      </c>
      <c r="AJ23" s="191"/>
      <c r="AK23" s="78"/>
    </row>
    <row r="24" spans="2:37" x14ac:dyDescent="0.2">
      <c r="B24" s="76"/>
      <c r="C24" s="191"/>
      <c r="D24" s="151"/>
      <c r="E24" s="151"/>
      <c r="F24" s="152"/>
      <c r="G24" s="67"/>
      <c r="H24" s="152"/>
      <c r="I24" s="152"/>
      <c r="J24" s="191"/>
      <c r="K24" s="71">
        <f t="shared" si="4"/>
        <v>0</v>
      </c>
      <c r="L24" s="68">
        <f t="shared" si="5"/>
        <v>0</v>
      </c>
      <c r="M24" s="68">
        <f t="shared" si="6"/>
        <v>0</v>
      </c>
      <c r="N24" s="560" t="str">
        <f t="shared" si="7"/>
        <v>-</v>
      </c>
      <c r="O24" s="68">
        <f t="shared" si="8"/>
        <v>0</v>
      </c>
      <c r="P24" s="191"/>
      <c r="Q24" s="68">
        <f t="shared" si="9"/>
        <v>0</v>
      </c>
      <c r="R24" s="68">
        <f t="shared" si="9"/>
        <v>0</v>
      </c>
      <c r="S24" s="68">
        <f t="shared" si="10"/>
        <v>0</v>
      </c>
      <c r="T24" s="68">
        <f t="shared" si="11"/>
        <v>0</v>
      </c>
      <c r="U24" s="68">
        <f t="shared" si="11"/>
        <v>0</v>
      </c>
      <c r="V24" s="68">
        <f t="shared" si="11"/>
        <v>0</v>
      </c>
      <c r="W24" s="68">
        <f t="shared" si="11"/>
        <v>0</v>
      </c>
      <c r="X24" s="68">
        <f t="shared" si="11"/>
        <v>0</v>
      </c>
      <c r="Y24" s="68">
        <f t="shared" si="11"/>
        <v>0</v>
      </c>
      <c r="Z24" s="1506"/>
      <c r="AA24" s="1499">
        <f t="shared" ref="AA24:AI33" si="13">IF(AA$8=$H24,($F24*$G24),0)</f>
        <v>0</v>
      </c>
      <c r="AB24" s="68">
        <f t="shared" si="13"/>
        <v>0</v>
      </c>
      <c r="AC24" s="68">
        <f t="shared" si="13"/>
        <v>0</v>
      </c>
      <c r="AD24" s="68">
        <f t="shared" si="13"/>
        <v>0</v>
      </c>
      <c r="AE24" s="68">
        <f t="shared" si="13"/>
        <v>0</v>
      </c>
      <c r="AF24" s="68">
        <f t="shared" si="13"/>
        <v>0</v>
      </c>
      <c r="AG24" s="68">
        <f t="shared" si="13"/>
        <v>0</v>
      </c>
      <c r="AH24" s="68">
        <f t="shared" si="13"/>
        <v>0</v>
      </c>
      <c r="AI24" s="68">
        <f t="shared" si="13"/>
        <v>0</v>
      </c>
      <c r="AJ24" s="191"/>
      <c r="AK24" s="78"/>
    </row>
    <row r="25" spans="2:37" x14ac:dyDescent="0.2">
      <c r="B25" s="76"/>
      <c r="C25" s="191"/>
      <c r="D25" s="151"/>
      <c r="E25" s="151"/>
      <c r="F25" s="152"/>
      <c r="G25" s="67"/>
      <c r="H25" s="152"/>
      <c r="I25" s="152"/>
      <c r="J25" s="191"/>
      <c r="K25" s="71">
        <f t="shared" si="4"/>
        <v>0</v>
      </c>
      <c r="L25" s="68">
        <f t="shared" si="5"/>
        <v>0</v>
      </c>
      <c r="M25" s="68">
        <f t="shared" si="6"/>
        <v>0</v>
      </c>
      <c r="N25" s="560" t="str">
        <f t="shared" si="7"/>
        <v>-</v>
      </c>
      <c r="O25" s="68">
        <f t="shared" si="8"/>
        <v>0</v>
      </c>
      <c r="P25" s="191"/>
      <c r="Q25" s="68">
        <f t="shared" si="9"/>
        <v>0</v>
      </c>
      <c r="R25" s="68">
        <f t="shared" si="9"/>
        <v>0</v>
      </c>
      <c r="S25" s="68">
        <f t="shared" si="10"/>
        <v>0</v>
      </c>
      <c r="T25" s="68">
        <f t="shared" si="11"/>
        <v>0</v>
      </c>
      <c r="U25" s="68">
        <f t="shared" si="11"/>
        <v>0</v>
      </c>
      <c r="V25" s="68">
        <f t="shared" si="11"/>
        <v>0</v>
      </c>
      <c r="W25" s="68">
        <f t="shared" si="11"/>
        <v>0</v>
      </c>
      <c r="X25" s="68">
        <f t="shared" si="11"/>
        <v>0</v>
      </c>
      <c r="Y25" s="68">
        <f t="shared" si="11"/>
        <v>0</v>
      </c>
      <c r="Z25" s="1506"/>
      <c r="AA25" s="1499">
        <f t="shared" si="13"/>
        <v>0</v>
      </c>
      <c r="AB25" s="68">
        <f t="shared" si="13"/>
        <v>0</v>
      </c>
      <c r="AC25" s="68">
        <f t="shared" si="13"/>
        <v>0</v>
      </c>
      <c r="AD25" s="68">
        <f t="shared" si="13"/>
        <v>0</v>
      </c>
      <c r="AE25" s="68">
        <f t="shared" si="13"/>
        <v>0</v>
      </c>
      <c r="AF25" s="68">
        <f t="shared" si="13"/>
        <v>0</v>
      </c>
      <c r="AG25" s="68">
        <f t="shared" si="13"/>
        <v>0</v>
      </c>
      <c r="AH25" s="68">
        <f t="shared" si="13"/>
        <v>0</v>
      </c>
      <c r="AI25" s="68">
        <f t="shared" si="13"/>
        <v>0</v>
      </c>
      <c r="AJ25" s="191"/>
      <c r="AK25" s="78"/>
    </row>
    <row r="26" spans="2:37" x14ac:dyDescent="0.2">
      <c r="B26" s="76"/>
      <c r="C26" s="191"/>
      <c r="D26" s="151"/>
      <c r="E26" s="151"/>
      <c r="F26" s="152"/>
      <c r="G26" s="67"/>
      <c r="H26" s="152"/>
      <c r="I26" s="152"/>
      <c r="J26" s="191"/>
      <c r="K26" s="71">
        <f t="shared" si="4"/>
        <v>0</v>
      </c>
      <c r="L26" s="68">
        <f t="shared" si="5"/>
        <v>0</v>
      </c>
      <c r="M26" s="68">
        <f t="shared" si="6"/>
        <v>0</v>
      </c>
      <c r="N26" s="560" t="str">
        <f t="shared" si="7"/>
        <v>-</v>
      </c>
      <c r="O26" s="68">
        <f t="shared" si="8"/>
        <v>0</v>
      </c>
      <c r="P26" s="191"/>
      <c r="Q26" s="68">
        <f t="shared" si="9"/>
        <v>0</v>
      </c>
      <c r="R26" s="68">
        <f t="shared" si="9"/>
        <v>0</v>
      </c>
      <c r="S26" s="68">
        <f t="shared" si="10"/>
        <v>0</v>
      </c>
      <c r="T26" s="68">
        <f t="shared" si="11"/>
        <v>0</v>
      </c>
      <c r="U26" s="68">
        <f t="shared" si="11"/>
        <v>0</v>
      </c>
      <c r="V26" s="68">
        <f t="shared" si="11"/>
        <v>0</v>
      </c>
      <c r="W26" s="68">
        <f t="shared" si="11"/>
        <v>0</v>
      </c>
      <c r="X26" s="68">
        <f t="shared" si="11"/>
        <v>0</v>
      </c>
      <c r="Y26" s="68">
        <f t="shared" si="11"/>
        <v>0</v>
      </c>
      <c r="Z26" s="1506"/>
      <c r="AA26" s="1499">
        <f t="shared" si="13"/>
        <v>0</v>
      </c>
      <c r="AB26" s="68">
        <f t="shared" si="13"/>
        <v>0</v>
      </c>
      <c r="AC26" s="68">
        <f t="shared" si="13"/>
        <v>0</v>
      </c>
      <c r="AD26" s="68">
        <f t="shared" si="13"/>
        <v>0</v>
      </c>
      <c r="AE26" s="68">
        <f t="shared" si="13"/>
        <v>0</v>
      </c>
      <c r="AF26" s="68">
        <f t="shared" si="13"/>
        <v>0</v>
      </c>
      <c r="AG26" s="68">
        <f t="shared" si="13"/>
        <v>0</v>
      </c>
      <c r="AH26" s="68">
        <f t="shared" si="13"/>
        <v>0</v>
      </c>
      <c r="AI26" s="68">
        <f t="shared" si="13"/>
        <v>0</v>
      </c>
      <c r="AJ26" s="191"/>
      <c r="AK26" s="78"/>
    </row>
    <row r="27" spans="2:37" x14ac:dyDescent="0.2">
      <c r="B27" s="76"/>
      <c r="C27" s="191"/>
      <c r="D27" s="151"/>
      <c r="E27" s="151"/>
      <c r="F27" s="152"/>
      <c r="G27" s="67"/>
      <c r="H27" s="152"/>
      <c r="I27" s="152"/>
      <c r="J27" s="191"/>
      <c r="K27" s="71">
        <f t="shared" si="4"/>
        <v>0</v>
      </c>
      <c r="L27" s="68">
        <f t="shared" si="5"/>
        <v>0</v>
      </c>
      <c r="M27" s="68">
        <f t="shared" si="6"/>
        <v>0</v>
      </c>
      <c r="N27" s="560" t="str">
        <f t="shared" si="7"/>
        <v>-</v>
      </c>
      <c r="O27" s="68">
        <f t="shared" si="8"/>
        <v>0</v>
      </c>
      <c r="P27" s="191"/>
      <c r="Q27" s="68">
        <f t="shared" si="9"/>
        <v>0</v>
      </c>
      <c r="R27" s="68">
        <f t="shared" si="9"/>
        <v>0</v>
      </c>
      <c r="S27" s="68">
        <f t="shared" si="10"/>
        <v>0</v>
      </c>
      <c r="T27" s="68">
        <f t="shared" si="11"/>
        <v>0</v>
      </c>
      <c r="U27" s="68">
        <f t="shared" si="11"/>
        <v>0</v>
      </c>
      <c r="V27" s="68">
        <f t="shared" si="11"/>
        <v>0</v>
      </c>
      <c r="W27" s="68">
        <f t="shared" si="11"/>
        <v>0</v>
      </c>
      <c r="X27" s="68">
        <f t="shared" si="11"/>
        <v>0</v>
      </c>
      <c r="Y27" s="68">
        <f t="shared" si="11"/>
        <v>0</v>
      </c>
      <c r="Z27" s="1506"/>
      <c r="AA27" s="1499">
        <f t="shared" si="13"/>
        <v>0</v>
      </c>
      <c r="AB27" s="68">
        <f t="shared" si="13"/>
        <v>0</v>
      </c>
      <c r="AC27" s="68">
        <f t="shared" si="13"/>
        <v>0</v>
      </c>
      <c r="AD27" s="68">
        <f t="shared" si="13"/>
        <v>0</v>
      </c>
      <c r="AE27" s="68">
        <f t="shared" si="13"/>
        <v>0</v>
      </c>
      <c r="AF27" s="68">
        <f t="shared" si="13"/>
        <v>0</v>
      </c>
      <c r="AG27" s="68">
        <f t="shared" si="13"/>
        <v>0</v>
      </c>
      <c r="AH27" s="68">
        <f t="shared" si="13"/>
        <v>0</v>
      </c>
      <c r="AI27" s="68">
        <f t="shared" si="13"/>
        <v>0</v>
      </c>
      <c r="AJ27" s="191"/>
      <c r="AK27" s="78"/>
    </row>
    <row r="28" spans="2:37" x14ac:dyDescent="0.2">
      <c r="B28" s="76"/>
      <c r="C28" s="191"/>
      <c r="D28" s="151"/>
      <c r="E28" s="151"/>
      <c r="F28" s="152"/>
      <c r="G28" s="67"/>
      <c r="H28" s="152"/>
      <c r="I28" s="152"/>
      <c r="J28" s="191"/>
      <c r="K28" s="71">
        <f t="shared" si="4"/>
        <v>0</v>
      </c>
      <c r="L28" s="68">
        <f t="shared" si="5"/>
        <v>0</v>
      </c>
      <c r="M28" s="68">
        <f t="shared" si="6"/>
        <v>0</v>
      </c>
      <c r="N28" s="560" t="str">
        <f t="shared" si="7"/>
        <v>-</v>
      </c>
      <c r="O28" s="68">
        <f t="shared" si="8"/>
        <v>0</v>
      </c>
      <c r="P28" s="191"/>
      <c r="Q28" s="68">
        <f t="shared" si="9"/>
        <v>0</v>
      </c>
      <c r="R28" s="68">
        <f t="shared" si="9"/>
        <v>0</v>
      </c>
      <c r="S28" s="68">
        <f t="shared" si="10"/>
        <v>0</v>
      </c>
      <c r="T28" s="68">
        <f t="shared" si="11"/>
        <v>0</v>
      </c>
      <c r="U28" s="68">
        <f t="shared" si="11"/>
        <v>0</v>
      </c>
      <c r="V28" s="68">
        <f t="shared" si="11"/>
        <v>0</v>
      </c>
      <c r="W28" s="68">
        <f t="shared" si="11"/>
        <v>0</v>
      </c>
      <c r="X28" s="68">
        <f t="shared" si="11"/>
        <v>0</v>
      </c>
      <c r="Y28" s="68">
        <f t="shared" si="11"/>
        <v>0</v>
      </c>
      <c r="Z28" s="1506"/>
      <c r="AA28" s="1499">
        <f t="shared" si="13"/>
        <v>0</v>
      </c>
      <c r="AB28" s="68">
        <f t="shared" si="13"/>
        <v>0</v>
      </c>
      <c r="AC28" s="68">
        <f t="shared" si="13"/>
        <v>0</v>
      </c>
      <c r="AD28" s="68">
        <f t="shared" si="13"/>
        <v>0</v>
      </c>
      <c r="AE28" s="68">
        <f t="shared" si="13"/>
        <v>0</v>
      </c>
      <c r="AF28" s="68">
        <f t="shared" si="13"/>
        <v>0</v>
      </c>
      <c r="AG28" s="68">
        <f t="shared" si="13"/>
        <v>0</v>
      </c>
      <c r="AH28" s="68">
        <f t="shared" si="13"/>
        <v>0</v>
      </c>
      <c r="AI28" s="68">
        <f t="shared" si="13"/>
        <v>0</v>
      </c>
      <c r="AJ28" s="191"/>
      <c r="AK28" s="78"/>
    </row>
    <row r="29" spans="2:37" x14ac:dyDescent="0.2">
      <c r="B29" s="76"/>
      <c r="C29" s="191"/>
      <c r="D29" s="151"/>
      <c r="E29" s="151"/>
      <c r="F29" s="152"/>
      <c r="G29" s="67"/>
      <c r="H29" s="152"/>
      <c r="I29" s="152"/>
      <c r="J29" s="191"/>
      <c r="K29" s="71">
        <f t="shared" si="4"/>
        <v>0</v>
      </c>
      <c r="L29" s="68">
        <f t="shared" si="5"/>
        <v>0</v>
      </c>
      <c r="M29" s="68">
        <f t="shared" si="6"/>
        <v>0</v>
      </c>
      <c r="N29" s="560" t="str">
        <f t="shared" si="7"/>
        <v>-</v>
      </c>
      <c r="O29" s="68">
        <f t="shared" si="8"/>
        <v>0</v>
      </c>
      <c r="P29" s="191"/>
      <c r="Q29" s="68">
        <f t="shared" si="9"/>
        <v>0</v>
      </c>
      <c r="R29" s="68">
        <f t="shared" si="9"/>
        <v>0</v>
      </c>
      <c r="S29" s="68">
        <f t="shared" si="10"/>
        <v>0</v>
      </c>
      <c r="T29" s="68">
        <f t="shared" si="11"/>
        <v>0</v>
      </c>
      <c r="U29" s="68">
        <f t="shared" si="11"/>
        <v>0</v>
      </c>
      <c r="V29" s="68">
        <f t="shared" si="11"/>
        <v>0</v>
      </c>
      <c r="W29" s="68">
        <f t="shared" si="11"/>
        <v>0</v>
      </c>
      <c r="X29" s="68">
        <f t="shared" si="11"/>
        <v>0</v>
      </c>
      <c r="Y29" s="68">
        <f t="shared" si="11"/>
        <v>0</v>
      </c>
      <c r="Z29" s="1506"/>
      <c r="AA29" s="1499">
        <f t="shared" si="13"/>
        <v>0</v>
      </c>
      <c r="AB29" s="68">
        <f t="shared" si="13"/>
        <v>0</v>
      </c>
      <c r="AC29" s="68">
        <f t="shared" si="13"/>
        <v>0</v>
      </c>
      <c r="AD29" s="68">
        <f t="shared" si="13"/>
        <v>0</v>
      </c>
      <c r="AE29" s="68">
        <f t="shared" si="13"/>
        <v>0</v>
      </c>
      <c r="AF29" s="68">
        <f t="shared" si="13"/>
        <v>0</v>
      </c>
      <c r="AG29" s="68">
        <f t="shared" si="13"/>
        <v>0</v>
      </c>
      <c r="AH29" s="68">
        <f t="shared" si="13"/>
        <v>0</v>
      </c>
      <c r="AI29" s="68">
        <f t="shared" si="13"/>
        <v>0</v>
      </c>
      <c r="AJ29" s="191"/>
      <c r="AK29" s="78"/>
    </row>
    <row r="30" spans="2:37" x14ac:dyDescent="0.2">
      <c r="B30" s="76"/>
      <c r="C30" s="191"/>
      <c r="D30" s="151"/>
      <c r="E30" s="151"/>
      <c r="F30" s="152"/>
      <c r="G30" s="67"/>
      <c r="H30" s="152"/>
      <c r="I30" s="152"/>
      <c r="J30" s="191"/>
      <c r="K30" s="71">
        <f t="shared" si="4"/>
        <v>0</v>
      </c>
      <c r="L30" s="68">
        <f t="shared" si="5"/>
        <v>0</v>
      </c>
      <c r="M30" s="68">
        <f t="shared" si="6"/>
        <v>0</v>
      </c>
      <c r="N30" s="560" t="str">
        <f t="shared" si="7"/>
        <v>-</v>
      </c>
      <c r="O30" s="68">
        <f t="shared" si="8"/>
        <v>0</v>
      </c>
      <c r="P30" s="191"/>
      <c r="Q30" s="68">
        <f t="shared" si="9"/>
        <v>0</v>
      </c>
      <c r="R30" s="68">
        <f t="shared" si="9"/>
        <v>0</v>
      </c>
      <c r="S30" s="68">
        <f t="shared" si="10"/>
        <v>0</v>
      </c>
      <c r="T30" s="68">
        <f t="shared" si="11"/>
        <v>0</v>
      </c>
      <c r="U30" s="68">
        <f t="shared" si="11"/>
        <v>0</v>
      </c>
      <c r="V30" s="68">
        <f t="shared" si="11"/>
        <v>0</v>
      </c>
      <c r="W30" s="68">
        <f t="shared" si="11"/>
        <v>0</v>
      </c>
      <c r="X30" s="68">
        <f t="shared" si="11"/>
        <v>0</v>
      </c>
      <c r="Y30" s="68">
        <f t="shared" si="11"/>
        <v>0</v>
      </c>
      <c r="Z30" s="1506"/>
      <c r="AA30" s="1499">
        <f t="shared" si="13"/>
        <v>0</v>
      </c>
      <c r="AB30" s="68">
        <f t="shared" si="13"/>
        <v>0</v>
      </c>
      <c r="AC30" s="68">
        <f t="shared" si="13"/>
        <v>0</v>
      </c>
      <c r="AD30" s="68">
        <f t="shared" si="13"/>
        <v>0</v>
      </c>
      <c r="AE30" s="68">
        <f t="shared" si="13"/>
        <v>0</v>
      </c>
      <c r="AF30" s="68">
        <f t="shared" si="13"/>
        <v>0</v>
      </c>
      <c r="AG30" s="68">
        <f t="shared" si="13"/>
        <v>0</v>
      </c>
      <c r="AH30" s="68">
        <f t="shared" si="13"/>
        <v>0</v>
      </c>
      <c r="AI30" s="68">
        <f t="shared" si="13"/>
        <v>0</v>
      </c>
      <c r="AJ30" s="191"/>
      <c r="AK30" s="78"/>
    </row>
    <row r="31" spans="2:37" x14ac:dyDescent="0.2">
      <c r="B31" s="76"/>
      <c r="C31" s="191"/>
      <c r="D31" s="151"/>
      <c r="E31" s="151"/>
      <c r="F31" s="152"/>
      <c r="G31" s="67"/>
      <c r="H31" s="152"/>
      <c r="I31" s="152"/>
      <c r="J31" s="191"/>
      <c r="K31" s="71">
        <f t="shared" si="4"/>
        <v>0</v>
      </c>
      <c r="L31" s="68">
        <f t="shared" si="5"/>
        <v>0</v>
      </c>
      <c r="M31" s="68">
        <f t="shared" si="6"/>
        <v>0</v>
      </c>
      <c r="N31" s="560" t="str">
        <f t="shared" si="7"/>
        <v>-</v>
      </c>
      <c r="O31" s="68">
        <f t="shared" si="8"/>
        <v>0</v>
      </c>
      <c r="P31" s="191"/>
      <c r="Q31" s="68">
        <f t="shared" si="9"/>
        <v>0</v>
      </c>
      <c r="R31" s="68">
        <f t="shared" si="9"/>
        <v>0</v>
      </c>
      <c r="S31" s="68">
        <f t="shared" si="10"/>
        <v>0</v>
      </c>
      <c r="T31" s="68">
        <f t="shared" si="11"/>
        <v>0</v>
      </c>
      <c r="U31" s="68">
        <f t="shared" si="11"/>
        <v>0</v>
      </c>
      <c r="V31" s="68">
        <f t="shared" si="11"/>
        <v>0</v>
      </c>
      <c r="W31" s="68">
        <f t="shared" si="11"/>
        <v>0</v>
      </c>
      <c r="X31" s="68">
        <f t="shared" si="11"/>
        <v>0</v>
      </c>
      <c r="Y31" s="68">
        <f t="shared" si="11"/>
        <v>0</v>
      </c>
      <c r="Z31" s="1506"/>
      <c r="AA31" s="1499">
        <f t="shared" si="13"/>
        <v>0</v>
      </c>
      <c r="AB31" s="68">
        <f t="shared" si="13"/>
        <v>0</v>
      </c>
      <c r="AC31" s="68">
        <f t="shared" si="13"/>
        <v>0</v>
      </c>
      <c r="AD31" s="68">
        <f t="shared" si="13"/>
        <v>0</v>
      </c>
      <c r="AE31" s="68">
        <f t="shared" si="13"/>
        <v>0</v>
      </c>
      <c r="AF31" s="68">
        <f t="shared" si="13"/>
        <v>0</v>
      </c>
      <c r="AG31" s="68">
        <f t="shared" si="13"/>
        <v>0</v>
      </c>
      <c r="AH31" s="68">
        <f t="shared" si="13"/>
        <v>0</v>
      </c>
      <c r="AI31" s="68">
        <f t="shared" si="13"/>
        <v>0</v>
      </c>
      <c r="AJ31" s="191"/>
      <c r="AK31" s="78"/>
    </row>
    <row r="32" spans="2:37" x14ac:dyDescent="0.2">
      <c r="B32" s="76"/>
      <c r="C32" s="191"/>
      <c r="D32" s="151"/>
      <c r="E32" s="151"/>
      <c r="F32" s="152"/>
      <c r="G32" s="67"/>
      <c r="H32" s="152"/>
      <c r="I32" s="152"/>
      <c r="J32" s="191"/>
      <c r="K32" s="71">
        <f t="shared" si="4"/>
        <v>0</v>
      </c>
      <c r="L32" s="68">
        <f t="shared" si="5"/>
        <v>0</v>
      </c>
      <c r="M32" s="68">
        <f t="shared" si="6"/>
        <v>0</v>
      </c>
      <c r="N32" s="560" t="str">
        <f t="shared" si="7"/>
        <v>-</v>
      </c>
      <c r="O32" s="68">
        <f t="shared" si="8"/>
        <v>0</v>
      </c>
      <c r="P32" s="191"/>
      <c r="Q32" s="68">
        <f t="shared" si="9"/>
        <v>0</v>
      </c>
      <c r="R32" s="68">
        <f t="shared" si="9"/>
        <v>0</v>
      </c>
      <c r="S32" s="68">
        <f t="shared" si="10"/>
        <v>0</v>
      </c>
      <c r="T32" s="68">
        <f t="shared" si="11"/>
        <v>0</v>
      </c>
      <c r="U32" s="68">
        <f t="shared" si="11"/>
        <v>0</v>
      </c>
      <c r="V32" s="68">
        <f t="shared" si="11"/>
        <v>0</v>
      </c>
      <c r="W32" s="68">
        <f t="shared" si="11"/>
        <v>0</v>
      </c>
      <c r="X32" s="68">
        <f t="shared" si="11"/>
        <v>0</v>
      </c>
      <c r="Y32" s="68">
        <f t="shared" si="11"/>
        <v>0</v>
      </c>
      <c r="Z32" s="1506"/>
      <c r="AA32" s="1499">
        <f t="shared" si="13"/>
        <v>0</v>
      </c>
      <c r="AB32" s="68">
        <f t="shared" si="13"/>
        <v>0</v>
      </c>
      <c r="AC32" s="68">
        <f t="shared" si="13"/>
        <v>0</v>
      </c>
      <c r="AD32" s="68">
        <f t="shared" si="13"/>
        <v>0</v>
      </c>
      <c r="AE32" s="68">
        <f t="shared" si="13"/>
        <v>0</v>
      </c>
      <c r="AF32" s="68">
        <f t="shared" si="13"/>
        <v>0</v>
      </c>
      <c r="AG32" s="68">
        <f t="shared" si="13"/>
        <v>0</v>
      </c>
      <c r="AH32" s="68">
        <f t="shared" si="13"/>
        <v>0</v>
      </c>
      <c r="AI32" s="68">
        <f t="shared" si="13"/>
        <v>0</v>
      </c>
      <c r="AJ32" s="191"/>
      <c r="AK32" s="78"/>
    </row>
    <row r="33" spans="2:37" x14ac:dyDescent="0.2">
      <c r="B33" s="76"/>
      <c r="C33" s="191"/>
      <c r="D33" s="151"/>
      <c r="E33" s="151"/>
      <c r="F33" s="152"/>
      <c r="G33" s="67"/>
      <c r="H33" s="152"/>
      <c r="I33" s="152"/>
      <c r="J33" s="191"/>
      <c r="K33" s="71">
        <f t="shared" si="4"/>
        <v>0</v>
      </c>
      <c r="L33" s="68">
        <f t="shared" si="5"/>
        <v>0</v>
      </c>
      <c r="M33" s="68">
        <f t="shared" si="6"/>
        <v>0</v>
      </c>
      <c r="N33" s="560" t="str">
        <f t="shared" si="7"/>
        <v>-</v>
      </c>
      <c r="O33" s="68">
        <f t="shared" si="8"/>
        <v>0</v>
      </c>
      <c r="P33" s="191"/>
      <c r="Q33" s="68">
        <f t="shared" si="9"/>
        <v>0</v>
      </c>
      <c r="R33" s="68">
        <f t="shared" si="9"/>
        <v>0</v>
      </c>
      <c r="S33" s="68">
        <f t="shared" si="10"/>
        <v>0</v>
      </c>
      <c r="T33" s="68">
        <f t="shared" si="11"/>
        <v>0</v>
      </c>
      <c r="U33" s="68">
        <f t="shared" si="11"/>
        <v>0</v>
      </c>
      <c r="V33" s="68">
        <f t="shared" si="11"/>
        <v>0</v>
      </c>
      <c r="W33" s="68">
        <f t="shared" si="11"/>
        <v>0</v>
      </c>
      <c r="X33" s="68">
        <f t="shared" si="11"/>
        <v>0</v>
      </c>
      <c r="Y33" s="68">
        <f t="shared" si="11"/>
        <v>0</v>
      </c>
      <c r="Z33" s="1506"/>
      <c r="AA33" s="1499">
        <f t="shared" si="13"/>
        <v>0</v>
      </c>
      <c r="AB33" s="68">
        <f t="shared" si="13"/>
        <v>0</v>
      </c>
      <c r="AC33" s="68">
        <f t="shared" si="13"/>
        <v>0</v>
      </c>
      <c r="AD33" s="68">
        <f t="shared" si="13"/>
        <v>0</v>
      </c>
      <c r="AE33" s="68">
        <f t="shared" si="13"/>
        <v>0</v>
      </c>
      <c r="AF33" s="68">
        <f t="shared" si="13"/>
        <v>0</v>
      </c>
      <c r="AG33" s="68">
        <f t="shared" si="13"/>
        <v>0</v>
      </c>
      <c r="AH33" s="68">
        <f t="shared" si="13"/>
        <v>0</v>
      </c>
      <c r="AI33" s="68">
        <f t="shared" si="13"/>
        <v>0</v>
      </c>
      <c r="AJ33" s="191"/>
      <c r="AK33" s="78"/>
    </row>
    <row r="34" spans="2:37" x14ac:dyDescent="0.2">
      <c r="B34" s="76"/>
      <c r="C34" s="191"/>
      <c r="D34" s="151"/>
      <c r="E34" s="151"/>
      <c r="F34" s="152"/>
      <c r="G34" s="67"/>
      <c r="H34" s="152"/>
      <c r="I34" s="152"/>
      <c r="J34" s="191"/>
      <c r="K34" s="71">
        <f t="shared" si="4"/>
        <v>0</v>
      </c>
      <c r="L34" s="68">
        <f t="shared" si="5"/>
        <v>0</v>
      </c>
      <c r="M34" s="68">
        <f t="shared" si="6"/>
        <v>0</v>
      </c>
      <c r="N34" s="560" t="str">
        <f t="shared" si="7"/>
        <v>-</v>
      </c>
      <c r="O34" s="68">
        <f t="shared" si="8"/>
        <v>0</v>
      </c>
      <c r="P34" s="191"/>
      <c r="Q34" s="68">
        <f t="shared" ref="Q34:R53" si="14">(IF(Q$8&lt;$H34,0,IF($N34&lt;=Q$8-1,0,$M34)))</f>
        <v>0</v>
      </c>
      <c r="R34" s="68">
        <f t="shared" si="14"/>
        <v>0</v>
      </c>
      <c r="S34" s="68">
        <f t="shared" si="10"/>
        <v>0</v>
      </c>
      <c r="T34" s="68">
        <f t="shared" ref="T34:Y53" si="15">(IF(T$8&lt;$H34,0,IF($N34&lt;=T$8-1,0,$M34)))</f>
        <v>0</v>
      </c>
      <c r="U34" s="68">
        <f t="shared" si="15"/>
        <v>0</v>
      </c>
      <c r="V34" s="68">
        <f t="shared" si="15"/>
        <v>0</v>
      </c>
      <c r="W34" s="68">
        <f t="shared" si="15"/>
        <v>0</v>
      </c>
      <c r="X34" s="68">
        <f t="shared" si="15"/>
        <v>0</v>
      </c>
      <c r="Y34" s="68">
        <f t="shared" si="15"/>
        <v>0</v>
      </c>
      <c r="Z34" s="1506"/>
      <c r="AA34" s="1499">
        <f t="shared" ref="AA34:AI43" si="16">IF(AA$8=$H34,($F34*$G34),0)</f>
        <v>0</v>
      </c>
      <c r="AB34" s="68">
        <f t="shared" si="16"/>
        <v>0</v>
      </c>
      <c r="AC34" s="68">
        <f t="shared" si="16"/>
        <v>0</v>
      </c>
      <c r="AD34" s="68">
        <f t="shared" si="16"/>
        <v>0</v>
      </c>
      <c r="AE34" s="68">
        <f t="shared" si="16"/>
        <v>0</v>
      </c>
      <c r="AF34" s="68">
        <f t="shared" si="16"/>
        <v>0</v>
      </c>
      <c r="AG34" s="68">
        <f t="shared" si="16"/>
        <v>0</v>
      </c>
      <c r="AH34" s="68">
        <f t="shared" si="16"/>
        <v>0</v>
      </c>
      <c r="AI34" s="68">
        <f t="shared" si="16"/>
        <v>0</v>
      </c>
      <c r="AJ34" s="191"/>
      <c r="AK34" s="78"/>
    </row>
    <row r="35" spans="2:37" x14ac:dyDescent="0.2">
      <c r="B35" s="76"/>
      <c r="C35" s="191"/>
      <c r="D35" s="151"/>
      <c r="E35" s="151"/>
      <c r="F35" s="152"/>
      <c r="G35" s="67"/>
      <c r="H35" s="152"/>
      <c r="I35" s="152"/>
      <c r="J35" s="191"/>
      <c r="K35" s="71">
        <f t="shared" si="4"/>
        <v>0</v>
      </c>
      <c r="L35" s="68">
        <f t="shared" si="5"/>
        <v>0</v>
      </c>
      <c r="M35" s="68">
        <f t="shared" si="6"/>
        <v>0</v>
      </c>
      <c r="N35" s="560" t="str">
        <f t="shared" si="7"/>
        <v>-</v>
      </c>
      <c r="O35" s="68">
        <f t="shared" si="8"/>
        <v>0</v>
      </c>
      <c r="P35" s="191"/>
      <c r="Q35" s="68">
        <f t="shared" si="14"/>
        <v>0</v>
      </c>
      <c r="R35" s="68">
        <f t="shared" si="14"/>
        <v>0</v>
      </c>
      <c r="S35" s="68">
        <f t="shared" si="10"/>
        <v>0</v>
      </c>
      <c r="T35" s="68">
        <f t="shared" si="15"/>
        <v>0</v>
      </c>
      <c r="U35" s="68">
        <f t="shared" si="15"/>
        <v>0</v>
      </c>
      <c r="V35" s="68">
        <f t="shared" si="15"/>
        <v>0</v>
      </c>
      <c r="W35" s="68">
        <f t="shared" si="15"/>
        <v>0</v>
      </c>
      <c r="X35" s="68">
        <f t="shared" si="15"/>
        <v>0</v>
      </c>
      <c r="Y35" s="68">
        <f t="shared" si="15"/>
        <v>0</v>
      </c>
      <c r="Z35" s="1506"/>
      <c r="AA35" s="1499">
        <f t="shared" si="16"/>
        <v>0</v>
      </c>
      <c r="AB35" s="68">
        <f t="shared" si="16"/>
        <v>0</v>
      </c>
      <c r="AC35" s="68">
        <f t="shared" si="16"/>
        <v>0</v>
      </c>
      <c r="AD35" s="68">
        <f t="shared" si="16"/>
        <v>0</v>
      </c>
      <c r="AE35" s="68">
        <f t="shared" si="16"/>
        <v>0</v>
      </c>
      <c r="AF35" s="68">
        <f t="shared" si="16"/>
        <v>0</v>
      </c>
      <c r="AG35" s="68">
        <f t="shared" si="16"/>
        <v>0</v>
      </c>
      <c r="AH35" s="68">
        <f t="shared" si="16"/>
        <v>0</v>
      </c>
      <c r="AI35" s="68">
        <f t="shared" si="16"/>
        <v>0</v>
      </c>
      <c r="AJ35" s="191"/>
      <c r="AK35" s="78"/>
    </row>
    <row r="36" spans="2:37" x14ac:dyDescent="0.2">
      <c r="B36" s="76"/>
      <c r="C36" s="191"/>
      <c r="D36" s="151"/>
      <c r="E36" s="151"/>
      <c r="F36" s="152"/>
      <c r="G36" s="67"/>
      <c r="H36" s="152"/>
      <c r="I36" s="152"/>
      <c r="J36" s="191"/>
      <c r="K36" s="71">
        <f t="shared" si="4"/>
        <v>0</v>
      </c>
      <c r="L36" s="68">
        <f t="shared" si="5"/>
        <v>0</v>
      </c>
      <c r="M36" s="68">
        <f t="shared" si="6"/>
        <v>0</v>
      </c>
      <c r="N36" s="560" t="str">
        <f t="shared" si="7"/>
        <v>-</v>
      </c>
      <c r="O36" s="68">
        <f t="shared" si="8"/>
        <v>0</v>
      </c>
      <c r="P36" s="191"/>
      <c r="Q36" s="68">
        <f t="shared" si="14"/>
        <v>0</v>
      </c>
      <c r="R36" s="68">
        <f t="shared" si="14"/>
        <v>0</v>
      </c>
      <c r="S36" s="68">
        <f t="shared" si="10"/>
        <v>0</v>
      </c>
      <c r="T36" s="68">
        <f t="shared" si="15"/>
        <v>0</v>
      </c>
      <c r="U36" s="68">
        <f t="shared" si="15"/>
        <v>0</v>
      </c>
      <c r="V36" s="68">
        <f t="shared" si="15"/>
        <v>0</v>
      </c>
      <c r="W36" s="68">
        <f t="shared" si="15"/>
        <v>0</v>
      </c>
      <c r="X36" s="68">
        <f t="shared" si="15"/>
        <v>0</v>
      </c>
      <c r="Y36" s="68">
        <f t="shared" si="15"/>
        <v>0</v>
      </c>
      <c r="Z36" s="1506"/>
      <c r="AA36" s="1499">
        <f t="shared" si="16"/>
        <v>0</v>
      </c>
      <c r="AB36" s="68">
        <f t="shared" si="16"/>
        <v>0</v>
      </c>
      <c r="AC36" s="68">
        <f t="shared" si="16"/>
        <v>0</v>
      </c>
      <c r="AD36" s="68">
        <f t="shared" si="16"/>
        <v>0</v>
      </c>
      <c r="AE36" s="68">
        <f t="shared" si="16"/>
        <v>0</v>
      </c>
      <c r="AF36" s="68">
        <f t="shared" si="16"/>
        <v>0</v>
      </c>
      <c r="AG36" s="68">
        <f t="shared" si="16"/>
        <v>0</v>
      </c>
      <c r="AH36" s="68">
        <f t="shared" si="16"/>
        <v>0</v>
      </c>
      <c r="AI36" s="68">
        <f t="shared" si="16"/>
        <v>0</v>
      </c>
      <c r="AJ36" s="191"/>
      <c r="AK36" s="78"/>
    </row>
    <row r="37" spans="2:37" x14ac:dyDescent="0.2">
      <c r="B37" s="76"/>
      <c r="C37" s="191"/>
      <c r="D37" s="151"/>
      <c r="E37" s="151"/>
      <c r="F37" s="152"/>
      <c r="G37" s="67"/>
      <c r="H37" s="152"/>
      <c r="I37" s="152"/>
      <c r="J37" s="191"/>
      <c r="K37" s="71">
        <f t="shared" si="4"/>
        <v>0</v>
      </c>
      <c r="L37" s="68">
        <f t="shared" si="5"/>
        <v>0</v>
      </c>
      <c r="M37" s="68">
        <f t="shared" si="6"/>
        <v>0</v>
      </c>
      <c r="N37" s="560" t="str">
        <f t="shared" si="7"/>
        <v>-</v>
      </c>
      <c r="O37" s="68">
        <f t="shared" si="8"/>
        <v>0</v>
      </c>
      <c r="P37" s="191"/>
      <c r="Q37" s="68">
        <f t="shared" si="14"/>
        <v>0</v>
      </c>
      <c r="R37" s="68">
        <f t="shared" si="14"/>
        <v>0</v>
      </c>
      <c r="S37" s="68">
        <f t="shared" si="10"/>
        <v>0</v>
      </c>
      <c r="T37" s="68">
        <f t="shared" si="15"/>
        <v>0</v>
      </c>
      <c r="U37" s="68">
        <f t="shared" si="15"/>
        <v>0</v>
      </c>
      <c r="V37" s="68">
        <f t="shared" si="15"/>
        <v>0</v>
      </c>
      <c r="W37" s="68">
        <f t="shared" si="15"/>
        <v>0</v>
      </c>
      <c r="X37" s="68">
        <f t="shared" si="15"/>
        <v>0</v>
      </c>
      <c r="Y37" s="68">
        <f t="shared" si="15"/>
        <v>0</v>
      </c>
      <c r="Z37" s="1506"/>
      <c r="AA37" s="1499">
        <f t="shared" si="16"/>
        <v>0</v>
      </c>
      <c r="AB37" s="68">
        <f t="shared" si="16"/>
        <v>0</v>
      </c>
      <c r="AC37" s="68">
        <f t="shared" si="16"/>
        <v>0</v>
      </c>
      <c r="AD37" s="68">
        <f t="shared" si="16"/>
        <v>0</v>
      </c>
      <c r="AE37" s="68">
        <f t="shared" si="16"/>
        <v>0</v>
      </c>
      <c r="AF37" s="68">
        <f t="shared" si="16"/>
        <v>0</v>
      </c>
      <c r="AG37" s="68">
        <f t="shared" si="16"/>
        <v>0</v>
      </c>
      <c r="AH37" s="68">
        <f t="shared" si="16"/>
        <v>0</v>
      </c>
      <c r="AI37" s="68">
        <f t="shared" si="16"/>
        <v>0</v>
      </c>
      <c r="AJ37" s="191"/>
      <c r="AK37" s="78"/>
    </row>
    <row r="38" spans="2:37" x14ac:dyDescent="0.2">
      <c r="B38" s="76"/>
      <c r="C38" s="191"/>
      <c r="D38" s="151"/>
      <c r="E38" s="151"/>
      <c r="F38" s="152"/>
      <c r="G38" s="67"/>
      <c r="H38" s="152"/>
      <c r="I38" s="152"/>
      <c r="J38" s="191"/>
      <c r="K38" s="71">
        <f t="shared" si="4"/>
        <v>0</v>
      </c>
      <c r="L38" s="68">
        <f t="shared" si="5"/>
        <v>0</v>
      </c>
      <c r="M38" s="68">
        <f t="shared" si="6"/>
        <v>0</v>
      </c>
      <c r="N38" s="560" t="str">
        <f t="shared" si="7"/>
        <v>-</v>
      </c>
      <c r="O38" s="68">
        <f t="shared" si="8"/>
        <v>0</v>
      </c>
      <c r="P38" s="191"/>
      <c r="Q38" s="68">
        <f t="shared" si="14"/>
        <v>0</v>
      </c>
      <c r="R38" s="68">
        <f t="shared" si="14"/>
        <v>0</v>
      </c>
      <c r="S38" s="68">
        <f t="shared" si="10"/>
        <v>0</v>
      </c>
      <c r="T38" s="68">
        <f t="shared" si="15"/>
        <v>0</v>
      </c>
      <c r="U38" s="68">
        <f t="shared" si="15"/>
        <v>0</v>
      </c>
      <c r="V38" s="68">
        <f t="shared" si="15"/>
        <v>0</v>
      </c>
      <c r="W38" s="68">
        <f t="shared" si="15"/>
        <v>0</v>
      </c>
      <c r="X38" s="68">
        <f t="shared" si="15"/>
        <v>0</v>
      </c>
      <c r="Y38" s="68">
        <f t="shared" si="15"/>
        <v>0</v>
      </c>
      <c r="Z38" s="1506"/>
      <c r="AA38" s="1499">
        <f t="shared" si="16"/>
        <v>0</v>
      </c>
      <c r="AB38" s="68">
        <f t="shared" si="16"/>
        <v>0</v>
      </c>
      <c r="AC38" s="68">
        <f t="shared" si="16"/>
        <v>0</v>
      </c>
      <c r="AD38" s="68">
        <f t="shared" si="16"/>
        <v>0</v>
      </c>
      <c r="AE38" s="68">
        <f t="shared" si="16"/>
        <v>0</v>
      </c>
      <c r="AF38" s="68">
        <f t="shared" si="16"/>
        <v>0</v>
      </c>
      <c r="AG38" s="68">
        <f t="shared" si="16"/>
        <v>0</v>
      </c>
      <c r="AH38" s="68">
        <f t="shared" si="16"/>
        <v>0</v>
      </c>
      <c r="AI38" s="68">
        <f t="shared" si="16"/>
        <v>0</v>
      </c>
      <c r="AJ38" s="191"/>
      <c r="AK38" s="78"/>
    </row>
    <row r="39" spans="2:37" x14ac:dyDescent="0.2">
      <c r="B39" s="76"/>
      <c r="C39" s="191"/>
      <c r="D39" s="151"/>
      <c r="E39" s="151"/>
      <c r="F39" s="152"/>
      <c r="G39" s="67"/>
      <c r="H39" s="152"/>
      <c r="I39" s="152"/>
      <c r="J39" s="191"/>
      <c r="K39" s="71">
        <f t="shared" si="4"/>
        <v>0</v>
      </c>
      <c r="L39" s="68">
        <f t="shared" si="5"/>
        <v>0</v>
      </c>
      <c r="M39" s="68">
        <f t="shared" si="6"/>
        <v>0</v>
      </c>
      <c r="N39" s="560" t="str">
        <f t="shared" si="7"/>
        <v>-</v>
      </c>
      <c r="O39" s="68">
        <f t="shared" si="8"/>
        <v>0</v>
      </c>
      <c r="P39" s="191"/>
      <c r="Q39" s="68">
        <f t="shared" si="14"/>
        <v>0</v>
      </c>
      <c r="R39" s="68">
        <f t="shared" si="14"/>
        <v>0</v>
      </c>
      <c r="S39" s="68">
        <f t="shared" si="10"/>
        <v>0</v>
      </c>
      <c r="T39" s="68">
        <f t="shared" si="15"/>
        <v>0</v>
      </c>
      <c r="U39" s="68">
        <f t="shared" si="15"/>
        <v>0</v>
      </c>
      <c r="V39" s="68">
        <f t="shared" si="15"/>
        <v>0</v>
      </c>
      <c r="W39" s="68">
        <f t="shared" si="15"/>
        <v>0</v>
      </c>
      <c r="X39" s="68">
        <f t="shared" si="15"/>
        <v>0</v>
      </c>
      <c r="Y39" s="68">
        <f t="shared" si="15"/>
        <v>0</v>
      </c>
      <c r="Z39" s="1506"/>
      <c r="AA39" s="1499">
        <f t="shared" si="16"/>
        <v>0</v>
      </c>
      <c r="AB39" s="68">
        <f t="shared" si="16"/>
        <v>0</v>
      </c>
      <c r="AC39" s="68">
        <f t="shared" si="16"/>
        <v>0</v>
      </c>
      <c r="AD39" s="68">
        <f t="shared" si="16"/>
        <v>0</v>
      </c>
      <c r="AE39" s="68">
        <f t="shared" si="16"/>
        <v>0</v>
      </c>
      <c r="AF39" s="68">
        <f t="shared" si="16"/>
        <v>0</v>
      </c>
      <c r="AG39" s="68">
        <f t="shared" si="16"/>
        <v>0</v>
      </c>
      <c r="AH39" s="68">
        <f t="shared" si="16"/>
        <v>0</v>
      </c>
      <c r="AI39" s="68">
        <f t="shared" si="16"/>
        <v>0</v>
      </c>
      <c r="AJ39" s="191"/>
      <c r="AK39" s="78"/>
    </row>
    <row r="40" spans="2:37" x14ac:dyDescent="0.2">
      <c r="B40" s="76"/>
      <c r="C40" s="191"/>
      <c r="D40" s="151"/>
      <c r="E40" s="151"/>
      <c r="F40" s="152"/>
      <c r="G40" s="67"/>
      <c r="H40" s="152"/>
      <c r="I40" s="152"/>
      <c r="J40" s="191"/>
      <c r="K40" s="71">
        <f t="shared" si="4"/>
        <v>0</v>
      </c>
      <c r="L40" s="68">
        <f t="shared" si="5"/>
        <v>0</v>
      </c>
      <c r="M40" s="68">
        <f t="shared" si="6"/>
        <v>0</v>
      </c>
      <c r="N40" s="560" t="str">
        <f t="shared" si="7"/>
        <v>-</v>
      </c>
      <c r="O40" s="68">
        <f t="shared" si="8"/>
        <v>0</v>
      </c>
      <c r="P40" s="191"/>
      <c r="Q40" s="68">
        <f t="shared" si="14"/>
        <v>0</v>
      </c>
      <c r="R40" s="68">
        <f t="shared" si="14"/>
        <v>0</v>
      </c>
      <c r="S40" s="68">
        <f t="shared" si="10"/>
        <v>0</v>
      </c>
      <c r="T40" s="68">
        <f t="shared" si="15"/>
        <v>0</v>
      </c>
      <c r="U40" s="68">
        <f t="shared" si="15"/>
        <v>0</v>
      </c>
      <c r="V40" s="68">
        <f t="shared" si="15"/>
        <v>0</v>
      </c>
      <c r="W40" s="68">
        <f t="shared" si="15"/>
        <v>0</v>
      </c>
      <c r="X40" s="68">
        <f t="shared" si="15"/>
        <v>0</v>
      </c>
      <c r="Y40" s="68">
        <f t="shared" si="15"/>
        <v>0</v>
      </c>
      <c r="Z40" s="1506"/>
      <c r="AA40" s="1499">
        <f t="shared" si="16"/>
        <v>0</v>
      </c>
      <c r="AB40" s="68">
        <f t="shared" si="16"/>
        <v>0</v>
      </c>
      <c r="AC40" s="68">
        <f t="shared" si="16"/>
        <v>0</v>
      </c>
      <c r="AD40" s="68">
        <f t="shared" si="16"/>
        <v>0</v>
      </c>
      <c r="AE40" s="68">
        <f t="shared" si="16"/>
        <v>0</v>
      </c>
      <c r="AF40" s="68">
        <f t="shared" si="16"/>
        <v>0</v>
      </c>
      <c r="AG40" s="68">
        <f t="shared" si="16"/>
        <v>0</v>
      </c>
      <c r="AH40" s="68">
        <f t="shared" si="16"/>
        <v>0</v>
      </c>
      <c r="AI40" s="68">
        <f t="shared" si="16"/>
        <v>0</v>
      </c>
      <c r="AJ40" s="191"/>
      <c r="AK40" s="78"/>
    </row>
    <row r="41" spans="2:37" x14ac:dyDescent="0.2">
      <c r="B41" s="76"/>
      <c r="C41" s="191"/>
      <c r="D41" s="151"/>
      <c r="E41" s="151"/>
      <c r="F41" s="152"/>
      <c r="G41" s="67"/>
      <c r="H41" s="152"/>
      <c r="I41" s="152"/>
      <c r="J41" s="191"/>
      <c r="K41" s="71">
        <f t="shared" si="4"/>
        <v>0</v>
      </c>
      <c r="L41" s="68">
        <f t="shared" si="5"/>
        <v>0</v>
      </c>
      <c r="M41" s="68">
        <f t="shared" si="6"/>
        <v>0</v>
      </c>
      <c r="N41" s="560" t="str">
        <f t="shared" si="7"/>
        <v>-</v>
      </c>
      <c r="O41" s="68">
        <f t="shared" si="8"/>
        <v>0</v>
      </c>
      <c r="P41" s="191"/>
      <c r="Q41" s="68">
        <f t="shared" si="14"/>
        <v>0</v>
      </c>
      <c r="R41" s="68">
        <f t="shared" si="14"/>
        <v>0</v>
      </c>
      <c r="S41" s="68">
        <f t="shared" si="10"/>
        <v>0</v>
      </c>
      <c r="T41" s="68">
        <f t="shared" si="15"/>
        <v>0</v>
      </c>
      <c r="U41" s="68">
        <f t="shared" si="15"/>
        <v>0</v>
      </c>
      <c r="V41" s="68">
        <f t="shared" si="15"/>
        <v>0</v>
      </c>
      <c r="W41" s="68">
        <f t="shared" si="15"/>
        <v>0</v>
      </c>
      <c r="X41" s="68">
        <f t="shared" si="15"/>
        <v>0</v>
      </c>
      <c r="Y41" s="68">
        <f t="shared" si="15"/>
        <v>0</v>
      </c>
      <c r="Z41" s="1506"/>
      <c r="AA41" s="1499">
        <f t="shared" si="16"/>
        <v>0</v>
      </c>
      <c r="AB41" s="68">
        <f t="shared" si="16"/>
        <v>0</v>
      </c>
      <c r="AC41" s="68">
        <f t="shared" si="16"/>
        <v>0</v>
      </c>
      <c r="AD41" s="68">
        <f t="shared" si="16"/>
        <v>0</v>
      </c>
      <c r="AE41" s="68">
        <f t="shared" si="16"/>
        <v>0</v>
      </c>
      <c r="AF41" s="68">
        <f t="shared" si="16"/>
        <v>0</v>
      </c>
      <c r="AG41" s="68">
        <f t="shared" si="16"/>
        <v>0</v>
      </c>
      <c r="AH41" s="68">
        <f t="shared" si="16"/>
        <v>0</v>
      </c>
      <c r="AI41" s="68">
        <f t="shared" si="16"/>
        <v>0</v>
      </c>
      <c r="AJ41" s="191"/>
      <c r="AK41" s="78"/>
    </row>
    <row r="42" spans="2:37" x14ac:dyDescent="0.2">
      <c r="B42" s="76"/>
      <c r="C42" s="191"/>
      <c r="D42" s="151"/>
      <c r="E42" s="151"/>
      <c r="F42" s="152"/>
      <c r="G42" s="67"/>
      <c r="H42" s="152"/>
      <c r="I42" s="152"/>
      <c r="J42" s="191"/>
      <c r="K42" s="71">
        <f t="shared" si="4"/>
        <v>0</v>
      </c>
      <c r="L42" s="68">
        <f t="shared" si="5"/>
        <v>0</v>
      </c>
      <c r="M42" s="68">
        <f t="shared" si="6"/>
        <v>0</v>
      </c>
      <c r="N42" s="560" t="str">
        <f t="shared" si="7"/>
        <v>-</v>
      </c>
      <c r="O42" s="68">
        <f t="shared" si="8"/>
        <v>0</v>
      </c>
      <c r="P42" s="191"/>
      <c r="Q42" s="68">
        <f t="shared" si="14"/>
        <v>0</v>
      </c>
      <c r="R42" s="68">
        <f t="shared" si="14"/>
        <v>0</v>
      </c>
      <c r="S42" s="68">
        <f t="shared" si="10"/>
        <v>0</v>
      </c>
      <c r="T42" s="68">
        <f t="shared" si="15"/>
        <v>0</v>
      </c>
      <c r="U42" s="68">
        <f t="shared" si="15"/>
        <v>0</v>
      </c>
      <c r="V42" s="68">
        <f t="shared" si="15"/>
        <v>0</v>
      </c>
      <c r="W42" s="68">
        <f t="shared" si="15"/>
        <v>0</v>
      </c>
      <c r="X42" s="68">
        <f t="shared" si="15"/>
        <v>0</v>
      </c>
      <c r="Y42" s="68">
        <f t="shared" si="15"/>
        <v>0</v>
      </c>
      <c r="Z42" s="1506"/>
      <c r="AA42" s="1499">
        <f t="shared" si="16"/>
        <v>0</v>
      </c>
      <c r="AB42" s="68">
        <f t="shared" si="16"/>
        <v>0</v>
      </c>
      <c r="AC42" s="68">
        <f t="shared" si="16"/>
        <v>0</v>
      </c>
      <c r="AD42" s="68">
        <f t="shared" si="16"/>
        <v>0</v>
      </c>
      <c r="AE42" s="68">
        <f t="shared" si="16"/>
        <v>0</v>
      </c>
      <c r="AF42" s="68">
        <f t="shared" si="16"/>
        <v>0</v>
      </c>
      <c r="AG42" s="68">
        <f t="shared" si="16"/>
        <v>0</v>
      </c>
      <c r="AH42" s="68">
        <f t="shared" si="16"/>
        <v>0</v>
      </c>
      <c r="AI42" s="68">
        <f t="shared" si="16"/>
        <v>0</v>
      </c>
      <c r="AJ42" s="191"/>
      <c r="AK42" s="78"/>
    </row>
    <row r="43" spans="2:37" x14ac:dyDescent="0.2">
      <c r="B43" s="76"/>
      <c r="C43" s="191"/>
      <c r="D43" s="151"/>
      <c r="E43" s="151"/>
      <c r="F43" s="152"/>
      <c r="G43" s="67"/>
      <c r="H43" s="152"/>
      <c r="I43" s="152"/>
      <c r="J43" s="191"/>
      <c r="K43" s="71">
        <f t="shared" si="4"/>
        <v>0</v>
      </c>
      <c r="L43" s="68">
        <f t="shared" si="5"/>
        <v>0</v>
      </c>
      <c r="M43" s="68">
        <f t="shared" si="6"/>
        <v>0</v>
      </c>
      <c r="N43" s="560" t="str">
        <f t="shared" si="7"/>
        <v>-</v>
      </c>
      <c r="O43" s="68">
        <f t="shared" si="8"/>
        <v>0</v>
      </c>
      <c r="P43" s="191"/>
      <c r="Q43" s="68">
        <f t="shared" si="14"/>
        <v>0</v>
      </c>
      <c r="R43" s="68">
        <f t="shared" si="14"/>
        <v>0</v>
      </c>
      <c r="S43" s="68">
        <f t="shared" si="10"/>
        <v>0</v>
      </c>
      <c r="T43" s="68">
        <f t="shared" si="15"/>
        <v>0</v>
      </c>
      <c r="U43" s="68">
        <f t="shared" si="15"/>
        <v>0</v>
      </c>
      <c r="V43" s="68">
        <f t="shared" si="15"/>
        <v>0</v>
      </c>
      <c r="W43" s="68">
        <f t="shared" si="15"/>
        <v>0</v>
      </c>
      <c r="X43" s="68">
        <f t="shared" si="15"/>
        <v>0</v>
      </c>
      <c r="Y43" s="68">
        <f t="shared" si="15"/>
        <v>0</v>
      </c>
      <c r="Z43" s="1506"/>
      <c r="AA43" s="1499">
        <f t="shared" si="16"/>
        <v>0</v>
      </c>
      <c r="AB43" s="68">
        <f t="shared" si="16"/>
        <v>0</v>
      </c>
      <c r="AC43" s="68">
        <f t="shared" si="16"/>
        <v>0</v>
      </c>
      <c r="AD43" s="68">
        <f t="shared" si="16"/>
        <v>0</v>
      </c>
      <c r="AE43" s="68">
        <f t="shared" si="16"/>
        <v>0</v>
      </c>
      <c r="AF43" s="68">
        <f t="shared" si="16"/>
        <v>0</v>
      </c>
      <c r="AG43" s="68">
        <f t="shared" si="16"/>
        <v>0</v>
      </c>
      <c r="AH43" s="68">
        <f t="shared" si="16"/>
        <v>0</v>
      </c>
      <c r="AI43" s="68">
        <f t="shared" si="16"/>
        <v>0</v>
      </c>
      <c r="AJ43" s="191"/>
      <c r="AK43" s="78"/>
    </row>
    <row r="44" spans="2:37" x14ac:dyDescent="0.2">
      <c r="B44" s="76"/>
      <c r="C44" s="191"/>
      <c r="D44" s="151"/>
      <c r="E44" s="151"/>
      <c r="F44" s="152"/>
      <c r="G44" s="67"/>
      <c r="H44" s="152"/>
      <c r="I44" s="152"/>
      <c r="J44" s="191"/>
      <c r="K44" s="71">
        <f t="shared" si="4"/>
        <v>0</v>
      </c>
      <c r="L44" s="68">
        <f t="shared" si="5"/>
        <v>0</v>
      </c>
      <c r="M44" s="68">
        <f t="shared" si="6"/>
        <v>0</v>
      </c>
      <c r="N44" s="560" t="str">
        <f t="shared" si="7"/>
        <v>-</v>
      </c>
      <c r="O44" s="68">
        <f t="shared" si="8"/>
        <v>0</v>
      </c>
      <c r="P44" s="191"/>
      <c r="Q44" s="68">
        <f t="shared" si="14"/>
        <v>0</v>
      </c>
      <c r="R44" s="68">
        <f t="shared" si="14"/>
        <v>0</v>
      </c>
      <c r="S44" s="68">
        <f t="shared" si="10"/>
        <v>0</v>
      </c>
      <c r="T44" s="68">
        <f t="shared" si="15"/>
        <v>0</v>
      </c>
      <c r="U44" s="68">
        <f t="shared" si="15"/>
        <v>0</v>
      </c>
      <c r="V44" s="68">
        <f t="shared" si="15"/>
        <v>0</v>
      </c>
      <c r="W44" s="68">
        <f t="shared" si="15"/>
        <v>0</v>
      </c>
      <c r="X44" s="68">
        <f t="shared" si="15"/>
        <v>0</v>
      </c>
      <c r="Y44" s="68">
        <f t="shared" si="15"/>
        <v>0</v>
      </c>
      <c r="Z44" s="1506"/>
      <c r="AA44" s="1499">
        <f t="shared" ref="AA44:AI53" si="17">IF(AA$8=$H44,($F44*$G44),0)</f>
        <v>0</v>
      </c>
      <c r="AB44" s="68">
        <f t="shared" si="17"/>
        <v>0</v>
      </c>
      <c r="AC44" s="68">
        <f t="shared" si="17"/>
        <v>0</v>
      </c>
      <c r="AD44" s="68">
        <f t="shared" si="17"/>
        <v>0</v>
      </c>
      <c r="AE44" s="68">
        <f t="shared" si="17"/>
        <v>0</v>
      </c>
      <c r="AF44" s="68">
        <f t="shared" si="17"/>
        <v>0</v>
      </c>
      <c r="AG44" s="68">
        <f t="shared" si="17"/>
        <v>0</v>
      </c>
      <c r="AH44" s="68">
        <f t="shared" si="17"/>
        <v>0</v>
      </c>
      <c r="AI44" s="68">
        <f t="shared" si="17"/>
        <v>0</v>
      </c>
      <c r="AJ44" s="191"/>
      <c r="AK44" s="78"/>
    </row>
    <row r="45" spans="2:37" x14ac:dyDescent="0.2">
      <c r="B45" s="76"/>
      <c r="C45" s="191"/>
      <c r="D45" s="151"/>
      <c r="E45" s="151"/>
      <c r="F45" s="152"/>
      <c r="G45" s="67"/>
      <c r="H45" s="152"/>
      <c r="I45" s="152"/>
      <c r="J45" s="191"/>
      <c r="K45" s="71">
        <f t="shared" si="4"/>
        <v>0</v>
      </c>
      <c r="L45" s="68">
        <f t="shared" si="5"/>
        <v>0</v>
      </c>
      <c r="M45" s="68">
        <f t="shared" si="6"/>
        <v>0</v>
      </c>
      <c r="N45" s="560" t="str">
        <f t="shared" si="7"/>
        <v>-</v>
      </c>
      <c r="O45" s="68">
        <f t="shared" si="8"/>
        <v>0</v>
      </c>
      <c r="P45" s="191"/>
      <c r="Q45" s="68">
        <f t="shared" si="14"/>
        <v>0</v>
      </c>
      <c r="R45" s="68">
        <f t="shared" si="14"/>
        <v>0</v>
      </c>
      <c r="S45" s="68">
        <f t="shared" si="10"/>
        <v>0</v>
      </c>
      <c r="T45" s="68">
        <f t="shared" si="15"/>
        <v>0</v>
      </c>
      <c r="U45" s="68">
        <f t="shared" si="15"/>
        <v>0</v>
      </c>
      <c r="V45" s="68">
        <f t="shared" si="15"/>
        <v>0</v>
      </c>
      <c r="W45" s="68">
        <f t="shared" si="15"/>
        <v>0</v>
      </c>
      <c r="X45" s="68">
        <f t="shared" si="15"/>
        <v>0</v>
      </c>
      <c r="Y45" s="68">
        <f t="shared" si="15"/>
        <v>0</v>
      </c>
      <c r="Z45" s="1506"/>
      <c r="AA45" s="1499">
        <f t="shared" si="17"/>
        <v>0</v>
      </c>
      <c r="AB45" s="68">
        <f t="shared" si="17"/>
        <v>0</v>
      </c>
      <c r="AC45" s="68">
        <f t="shared" si="17"/>
        <v>0</v>
      </c>
      <c r="AD45" s="68">
        <f t="shared" si="17"/>
        <v>0</v>
      </c>
      <c r="AE45" s="68">
        <f t="shared" si="17"/>
        <v>0</v>
      </c>
      <c r="AF45" s="68">
        <f t="shared" si="17"/>
        <v>0</v>
      </c>
      <c r="AG45" s="68">
        <f t="shared" si="17"/>
        <v>0</v>
      </c>
      <c r="AH45" s="68">
        <f t="shared" si="17"/>
        <v>0</v>
      </c>
      <c r="AI45" s="68">
        <f t="shared" si="17"/>
        <v>0</v>
      </c>
      <c r="AJ45" s="191"/>
      <c r="AK45" s="78"/>
    </row>
    <row r="46" spans="2:37" x14ac:dyDescent="0.2">
      <c r="B46" s="76"/>
      <c r="C46" s="191"/>
      <c r="D46" s="151"/>
      <c r="E46" s="151"/>
      <c r="F46" s="152"/>
      <c r="G46" s="67"/>
      <c r="H46" s="152"/>
      <c r="I46" s="152"/>
      <c r="J46" s="191"/>
      <c r="K46" s="71">
        <f t="shared" ref="K46:K70" si="18">IF(I46="geen",9999999999,I46)</f>
        <v>0</v>
      </c>
      <c r="L46" s="68">
        <f t="shared" ref="L46:L70" si="19">F46*G46</f>
        <v>0</v>
      </c>
      <c r="M46" s="68">
        <f t="shared" ref="M46:M70" si="20">IF(F46=0,0,(F46*G46)/K46)</f>
        <v>0</v>
      </c>
      <c r="N46" s="560" t="str">
        <f t="shared" ref="N46:N70" si="21">IF(K46=0,"-",(IF(K46&gt;3000,"-",H46+K46-1)))</f>
        <v>-</v>
      </c>
      <c r="O46" s="68">
        <f t="shared" ref="O46:O70" si="22">IF(I46="geen",IF(H46&lt;$Q$8,F46*G46,0),IF(H46&gt;=$Q$8,0,IF((G46*F46-(Q$8-H46)*M46)&lt;0,0,G46*F46-(Q$8-H46)*M46)))</f>
        <v>0</v>
      </c>
      <c r="P46" s="191"/>
      <c r="Q46" s="68">
        <f t="shared" si="14"/>
        <v>0</v>
      </c>
      <c r="R46" s="68">
        <f t="shared" si="14"/>
        <v>0</v>
      </c>
      <c r="S46" s="68">
        <f t="shared" ref="S46:S69" si="23">IF(S$8&lt;$H46,0,IF($N46&lt;=S$8-1,0,$M46))</f>
        <v>0</v>
      </c>
      <c r="T46" s="68">
        <f t="shared" si="15"/>
        <v>0</v>
      </c>
      <c r="U46" s="68">
        <f t="shared" si="15"/>
        <v>0</v>
      </c>
      <c r="V46" s="68">
        <f t="shared" si="15"/>
        <v>0</v>
      </c>
      <c r="W46" s="68">
        <f t="shared" si="15"/>
        <v>0</v>
      </c>
      <c r="X46" s="68">
        <f t="shared" si="15"/>
        <v>0</v>
      </c>
      <c r="Y46" s="68">
        <f t="shared" si="15"/>
        <v>0</v>
      </c>
      <c r="Z46" s="1506"/>
      <c r="AA46" s="1499">
        <f t="shared" si="17"/>
        <v>0</v>
      </c>
      <c r="AB46" s="68">
        <f t="shared" si="17"/>
        <v>0</v>
      </c>
      <c r="AC46" s="68">
        <f t="shared" si="17"/>
        <v>0</v>
      </c>
      <c r="AD46" s="68">
        <f t="shared" si="17"/>
        <v>0</v>
      </c>
      <c r="AE46" s="68">
        <f t="shared" si="17"/>
        <v>0</v>
      </c>
      <c r="AF46" s="68">
        <f t="shared" si="17"/>
        <v>0</v>
      </c>
      <c r="AG46" s="68">
        <f t="shared" si="17"/>
        <v>0</v>
      </c>
      <c r="AH46" s="68">
        <f t="shared" si="17"/>
        <v>0</v>
      </c>
      <c r="AI46" s="68">
        <f t="shared" si="17"/>
        <v>0</v>
      </c>
      <c r="AJ46" s="191"/>
      <c r="AK46" s="78"/>
    </row>
    <row r="47" spans="2:37" x14ac:dyDescent="0.2">
      <c r="B47" s="76"/>
      <c r="C47" s="191"/>
      <c r="D47" s="151"/>
      <c r="E47" s="151"/>
      <c r="F47" s="152"/>
      <c r="G47" s="67"/>
      <c r="H47" s="152"/>
      <c r="I47" s="152"/>
      <c r="J47" s="191"/>
      <c r="K47" s="71">
        <f t="shared" si="18"/>
        <v>0</v>
      </c>
      <c r="L47" s="68">
        <f t="shared" si="19"/>
        <v>0</v>
      </c>
      <c r="M47" s="68">
        <f t="shared" si="20"/>
        <v>0</v>
      </c>
      <c r="N47" s="560" t="str">
        <f t="shared" si="21"/>
        <v>-</v>
      </c>
      <c r="O47" s="68">
        <f t="shared" si="22"/>
        <v>0</v>
      </c>
      <c r="P47" s="191"/>
      <c r="Q47" s="68">
        <f t="shared" si="14"/>
        <v>0</v>
      </c>
      <c r="R47" s="68">
        <f t="shared" si="14"/>
        <v>0</v>
      </c>
      <c r="S47" s="68">
        <f t="shared" si="23"/>
        <v>0</v>
      </c>
      <c r="T47" s="68">
        <f t="shared" si="15"/>
        <v>0</v>
      </c>
      <c r="U47" s="68">
        <f t="shared" si="15"/>
        <v>0</v>
      </c>
      <c r="V47" s="68">
        <f t="shared" si="15"/>
        <v>0</v>
      </c>
      <c r="W47" s="68">
        <f t="shared" si="15"/>
        <v>0</v>
      </c>
      <c r="X47" s="68">
        <f t="shared" si="15"/>
        <v>0</v>
      </c>
      <c r="Y47" s="68">
        <f t="shared" si="15"/>
        <v>0</v>
      </c>
      <c r="Z47" s="1506"/>
      <c r="AA47" s="1499">
        <f t="shared" si="17"/>
        <v>0</v>
      </c>
      <c r="AB47" s="68">
        <f t="shared" si="17"/>
        <v>0</v>
      </c>
      <c r="AC47" s="68">
        <f t="shared" si="17"/>
        <v>0</v>
      </c>
      <c r="AD47" s="68">
        <f t="shared" si="17"/>
        <v>0</v>
      </c>
      <c r="AE47" s="68">
        <f t="shared" si="17"/>
        <v>0</v>
      </c>
      <c r="AF47" s="68">
        <f t="shared" si="17"/>
        <v>0</v>
      </c>
      <c r="AG47" s="68">
        <f t="shared" si="17"/>
        <v>0</v>
      </c>
      <c r="AH47" s="68">
        <f t="shared" si="17"/>
        <v>0</v>
      </c>
      <c r="AI47" s="68">
        <f t="shared" si="17"/>
        <v>0</v>
      </c>
      <c r="AJ47" s="191"/>
      <c r="AK47" s="78"/>
    </row>
    <row r="48" spans="2:37" x14ac:dyDescent="0.2">
      <c r="B48" s="76"/>
      <c r="C48" s="191"/>
      <c r="D48" s="151"/>
      <c r="E48" s="151"/>
      <c r="F48" s="152"/>
      <c r="G48" s="67"/>
      <c r="H48" s="152"/>
      <c r="I48" s="152"/>
      <c r="J48" s="191"/>
      <c r="K48" s="71">
        <f t="shared" si="18"/>
        <v>0</v>
      </c>
      <c r="L48" s="68">
        <f t="shared" si="19"/>
        <v>0</v>
      </c>
      <c r="M48" s="68">
        <f t="shared" si="20"/>
        <v>0</v>
      </c>
      <c r="N48" s="560" t="str">
        <f t="shared" si="21"/>
        <v>-</v>
      </c>
      <c r="O48" s="68">
        <f t="shared" si="22"/>
        <v>0</v>
      </c>
      <c r="P48" s="191"/>
      <c r="Q48" s="68">
        <f t="shared" si="14"/>
        <v>0</v>
      </c>
      <c r="R48" s="68">
        <f t="shared" si="14"/>
        <v>0</v>
      </c>
      <c r="S48" s="68">
        <f t="shared" si="23"/>
        <v>0</v>
      </c>
      <c r="T48" s="68">
        <f t="shared" si="15"/>
        <v>0</v>
      </c>
      <c r="U48" s="68">
        <f t="shared" si="15"/>
        <v>0</v>
      </c>
      <c r="V48" s="68">
        <f t="shared" si="15"/>
        <v>0</v>
      </c>
      <c r="W48" s="68">
        <f t="shared" si="15"/>
        <v>0</v>
      </c>
      <c r="X48" s="68">
        <f t="shared" si="15"/>
        <v>0</v>
      </c>
      <c r="Y48" s="68">
        <f t="shared" si="15"/>
        <v>0</v>
      </c>
      <c r="Z48" s="1506"/>
      <c r="AA48" s="1499">
        <f t="shared" si="17"/>
        <v>0</v>
      </c>
      <c r="AB48" s="68">
        <f t="shared" si="17"/>
        <v>0</v>
      </c>
      <c r="AC48" s="68">
        <f t="shared" si="17"/>
        <v>0</v>
      </c>
      <c r="AD48" s="68">
        <f t="shared" si="17"/>
        <v>0</v>
      </c>
      <c r="AE48" s="68">
        <f t="shared" si="17"/>
        <v>0</v>
      </c>
      <c r="AF48" s="68">
        <f t="shared" si="17"/>
        <v>0</v>
      </c>
      <c r="AG48" s="68">
        <f t="shared" si="17"/>
        <v>0</v>
      </c>
      <c r="AH48" s="68">
        <f t="shared" si="17"/>
        <v>0</v>
      </c>
      <c r="AI48" s="68">
        <f t="shared" si="17"/>
        <v>0</v>
      </c>
      <c r="AJ48" s="191"/>
      <c r="AK48" s="78"/>
    </row>
    <row r="49" spans="2:37" x14ac:dyDescent="0.2">
      <c r="B49" s="76"/>
      <c r="C49" s="191"/>
      <c r="D49" s="151"/>
      <c r="E49" s="151"/>
      <c r="F49" s="152"/>
      <c r="G49" s="67"/>
      <c r="H49" s="152"/>
      <c r="I49" s="152"/>
      <c r="J49" s="191"/>
      <c r="K49" s="71">
        <f t="shared" si="18"/>
        <v>0</v>
      </c>
      <c r="L49" s="68">
        <f t="shared" si="19"/>
        <v>0</v>
      </c>
      <c r="M49" s="68">
        <f t="shared" si="20"/>
        <v>0</v>
      </c>
      <c r="N49" s="560" t="str">
        <f t="shared" si="21"/>
        <v>-</v>
      </c>
      <c r="O49" s="68">
        <f t="shared" si="22"/>
        <v>0</v>
      </c>
      <c r="P49" s="191"/>
      <c r="Q49" s="68">
        <f t="shared" si="14"/>
        <v>0</v>
      </c>
      <c r="R49" s="68">
        <f t="shared" si="14"/>
        <v>0</v>
      </c>
      <c r="S49" s="68">
        <f t="shared" si="23"/>
        <v>0</v>
      </c>
      <c r="T49" s="68">
        <f t="shared" si="15"/>
        <v>0</v>
      </c>
      <c r="U49" s="68">
        <f t="shared" si="15"/>
        <v>0</v>
      </c>
      <c r="V49" s="68">
        <f t="shared" si="15"/>
        <v>0</v>
      </c>
      <c r="W49" s="68">
        <f t="shared" si="15"/>
        <v>0</v>
      </c>
      <c r="X49" s="68">
        <f t="shared" si="15"/>
        <v>0</v>
      </c>
      <c r="Y49" s="68">
        <f t="shared" si="15"/>
        <v>0</v>
      </c>
      <c r="Z49" s="1506"/>
      <c r="AA49" s="1499">
        <f t="shared" si="17"/>
        <v>0</v>
      </c>
      <c r="AB49" s="68">
        <f t="shared" si="17"/>
        <v>0</v>
      </c>
      <c r="AC49" s="68">
        <f t="shared" si="17"/>
        <v>0</v>
      </c>
      <c r="AD49" s="68">
        <f t="shared" si="17"/>
        <v>0</v>
      </c>
      <c r="AE49" s="68">
        <f t="shared" si="17"/>
        <v>0</v>
      </c>
      <c r="AF49" s="68">
        <f t="shared" si="17"/>
        <v>0</v>
      </c>
      <c r="AG49" s="68">
        <f t="shared" si="17"/>
        <v>0</v>
      </c>
      <c r="AH49" s="68">
        <f t="shared" si="17"/>
        <v>0</v>
      </c>
      <c r="AI49" s="68">
        <f t="shared" si="17"/>
        <v>0</v>
      </c>
      <c r="AJ49" s="191"/>
      <c r="AK49" s="78"/>
    </row>
    <row r="50" spans="2:37" x14ac:dyDescent="0.2">
      <c r="B50" s="76"/>
      <c r="C50" s="191"/>
      <c r="D50" s="151"/>
      <c r="E50" s="151"/>
      <c r="F50" s="152"/>
      <c r="G50" s="67"/>
      <c r="H50" s="152"/>
      <c r="I50" s="152"/>
      <c r="J50" s="191"/>
      <c r="K50" s="71">
        <f t="shared" si="18"/>
        <v>0</v>
      </c>
      <c r="L50" s="68">
        <f t="shared" si="19"/>
        <v>0</v>
      </c>
      <c r="M50" s="68">
        <f t="shared" si="20"/>
        <v>0</v>
      </c>
      <c r="N50" s="560" t="str">
        <f t="shared" si="21"/>
        <v>-</v>
      </c>
      <c r="O50" s="68">
        <f t="shared" si="22"/>
        <v>0</v>
      </c>
      <c r="P50" s="191"/>
      <c r="Q50" s="68">
        <f t="shared" si="14"/>
        <v>0</v>
      </c>
      <c r="R50" s="68">
        <f t="shared" si="14"/>
        <v>0</v>
      </c>
      <c r="S50" s="68">
        <f t="shared" si="23"/>
        <v>0</v>
      </c>
      <c r="T50" s="68">
        <f t="shared" si="15"/>
        <v>0</v>
      </c>
      <c r="U50" s="68">
        <f t="shared" si="15"/>
        <v>0</v>
      </c>
      <c r="V50" s="68">
        <f t="shared" si="15"/>
        <v>0</v>
      </c>
      <c r="W50" s="68">
        <f t="shared" si="15"/>
        <v>0</v>
      </c>
      <c r="X50" s="68">
        <f t="shared" si="15"/>
        <v>0</v>
      </c>
      <c r="Y50" s="68">
        <f t="shared" si="15"/>
        <v>0</v>
      </c>
      <c r="Z50" s="1506"/>
      <c r="AA50" s="1499">
        <f t="shared" si="17"/>
        <v>0</v>
      </c>
      <c r="AB50" s="68">
        <f t="shared" si="17"/>
        <v>0</v>
      </c>
      <c r="AC50" s="68">
        <f t="shared" si="17"/>
        <v>0</v>
      </c>
      <c r="AD50" s="68">
        <f t="shared" si="17"/>
        <v>0</v>
      </c>
      <c r="AE50" s="68">
        <f t="shared" si="17"/>
        <v>0</v>
      </c>
      <c r="AF50" s="68">
        <f t="shared" si="17"/>
        <v>0</v>
      </c>
      <c r="AG50" s="68">
        <f t="shared" si="17"/>
        <v>0</v>
      </c>
      <c r="AH50" s="68">
        <f t="shared" si="17"/>
        <v>0</v>
      </c>
      <c r="AI50" s="68">
        <f t="shared" si="17"/>
        <v>0</v>
      </c>
      <c r="AJ50" s="191"/>
      <c r="AK50" s="78"/>
    </row>
    <row r="51" spans="2:37" x14ac:dyDescent="0.2">
      <c r="B51" s="76"/>
      <c r="C51" s="191"/>
      <c r="D51" s="151"/>
      <c r="E51" s="151"/>
      <c r="F51" s="152"/>
      <c r="G51" s="67"/>
      <c r="H51" s="152"/>
      <c r="I51" s="152"/>
      <c r="J51" s="191"/>
      <c r="K51" s="71">
        <f t="shared" si="18"/>
        <v>0</v>
      </c>
      <c r="L51" s="68">
        <f t="shared" si="19"/>
        <v>0</v>
      </c>
      <c r="M51" s="68">
        <f t="shared" si="20"/>
        <v>0</v>
      </c>
      <c r="N51" s="560" t="str">
        <f t="shared" si="21"/>
        <v>-</v>
      </c>
      <c r="O51" s="68">
        <f t="shared" si="22"/>
        <v>0</v>
      </c>
      <c r="P51" s="191"/>
      <c r="Q51" s="68">
        <f t="shared" si="14"/>
        <v>0</v>
      </c>
      <c r="R51" s="68">
        <f t="shared" si="14"/>
        <v>0</v>
      </c>
      <c r="S51" s="68">
        <f t="shared" si="23"/>
        <v>0</v>
      </c>
      <c r="T51" s="68">
        <f t="shared" si="15"/>
        <v>0</v>
      </c>
      <c r="U51" s="68">
        <f t="shared" si="15"/>
        <v>0</v>
      </c>
      <c r="V51" s="68">
        <f t="shared" si="15"/>
        <v>0</v>
      </c>
      <c r="W51" s="68">
        <f t="shared" si="15"/>
        <v>0</v>
      </c>
      <c r="X51" s="68">
        <f t="shared" si="15"/>
        <v>0</v>
      </c>
      <c r="Y51" s="68">
        <f t="shared" si="15"/>
        <v>0</v>
      </c>
      <c r="Z51" s="1506"/>
      <c r="AA51" s="1499">
        <f t="shared" si="17"/>
        <v>0</v>
      </c>
      <c r="AB51" s="68">
        <f t="shared" si="17"/>
        <v>0</v>
      </c>
      <c r="AC51" s="68">
        <f t="shared" si="17"/>
        <v>0</v>
      </c>
      <c r="AD51" s="68">
        <f t="shared" si="17"/>
        <v>0</v>
      </c>
      <c r="AE51" s="68">
        <f t="shared" si="17"/>
        <v>0</v>
      </c>
      <c r="AF51" s="68">
        <f t="shared" si="17"/>
        <v>0</v>
      </c>
      <c r="AG51" s="68">
        <f t="shared" si="17"/>
        <v>0</v>
      </c>
      <c r="AH51" s="68">
        <f t="shared" si="17"/>
        <v>0</v>
      </c>
      <c r="AI51" s="68">
        <f t="shared" si="17"/>
        <v>0</v>
      </c>
      <c r="AJ51" s="191"/>
      <c r="AK51" s="78"/>
    </row>
    <row r="52" spans="2:37" x14ac:dyDescent="0.2">
      <c r="B52" s="76"/>
      <c r="C52" s="191"/>
      <c r="D52" s="151"/>
      <c r="E52" s="151"/>
      <c r="F52" s="152"/>
      <c r="G52" s="67"/>
      <c r="H52" s="152"/>
      <c r="I52" s="152"/>
      <c r="J52" s="191"/>
      <c r="K52" s="71">
        <f t="shared" si="18"/>
        <v>0</v>
      </c>
      <c r="L52" s="68">
        <f t="shared" si="19"/>
        <v>0</v>
      </c>
      <c r="M52" s="68">
        <f t="shared" si="20"/>
        <v>0</v>
      </c>
      <c r="N52" s="560" t="str">
        <f t="shared" si="21"/>
        <v>-</v>
      </c>
      <c r="O52" s="68">
        <f t="shared" si="22"/>
        <v>0</v>
      </c>
      <c r="P52" s="191"/>
      <c r="Q52" s="68">
        <f t="shared" si="14"/>
        <v>0</v>
      </c>
      <c r="R52" s="68">
        <f t="shared" si="14"/>
        <v>0</v>
      </c>
      <c r="S52" s="68">
        <f t="shared" si="23"/>
        <v>0</v>
      </c>
      <c r="T52" s="68">
        <f t="shared" si="15"/>
        <v>0</v>
      </c>
      <c r="U52" s="68">
        <f t="shared" si="15"/>
        <v>0</v>
      </c>
      <c r="V52" s="68">
        <f t="shared" si="15"/>
        <v>0</v>
      </c>
      <c r="W52" s="68">
        <f t="shared" si="15"/>
        <v>0</v>
      </c>
      <c r="X52" s="68">
        <f t="shared" si="15"/>
        <v>0</v>
      </c>
      <c r="Y52" s="68">
        <f t="shared" si="15"/>
        <v>0</v>
      </c>
      <c r="Z52" s="1506"/>
      <c r="AA52" s="1499">
        <f t="shared" si="17"/>
        <v>0</v>
      </c>
      <c r="AB52" s="68">
        <f t="shared" si="17"/>
        <v>0</v>
      </c>
      <c r="AC52" s="68">
        <f t="shared" si="17"/>
        <v>0</v>
      </c>
      <c r="AD52" s="68">
        <f t="shared" si="17"/>
        <v>0</v>
      </c>
      <c r="AE52" s="68">
        <f t="shared" si="17"/>
        <v>0</v>
      </c>
      <c r="AF52" s="68">
        <f t="shared" si="17"/>
        <v>0</v>
      </c>
      <c r="AG52" s="68">
        <f t="shared" si="17"/>
        <v>0</v>
      </c>
      <c r="AH52" s="68">
        <f t="shared" si="17"/>
        <v>0</v>
      </c>
      <c r="AI52" s="68">
        <f t="shared" si="17"/>
        <v>0</v>
      </c>
      <c r="AJ52" s="191"/>
      <c r="AK52" s="78"/>
    </row>
    <row r="53" spans="2:37" x14ac:dyDescent="0.2">
      <c r="B53" s="76"/>
      <c r="C53" s="191"/>
      <c r="D53" s="151"/>
      <c r="E53" s="151"/>
      <c r="F53" s="152"/>
      <c r="G53" s="67"/>
      <c r="H53" s="152"/>
      <c r="I53" s="152"/>
      <c r="J53" s="191"/>
      <c r="K53" s="71">
        <f t="shared" si="18"/>
        <v>0</v>
      </c>
      <c r="L53" s="68">
        <f t="shared" si="19"/>
        <v>0</v>
      </c>
      <c r="M53" s="68">
        <f t="shared" si="20"/>
        <v>0</v>
      </c>
      <c r="N53" s="560" t="str">
        <f t="shared" si="21"/>
        <v>-</v>
      </c>
      <c r="O53" s="68">
        <f t="shared" si="22"/>
        <v>0</v>
      </c>
      <c r="P53" s="191"/>
      <c r="Q53" s="68">
        <f t="shared" si="14"/>
        <v>0</v>
      </c>
      <c r="R53" s="68">
        <f t="shared" si="14"/>
        <v>0</v>
      </c>
      <c r="S53" s="68">
        <f t="shared" si="23"/>
        <v>0</v>
      </c>
      <c r="T53" s="68">
        <f t="shared" si="15"/>
        <v>0</v>
      </c>
      <c r="U53" s="68">
        <f t="shared" si="15"/>
        <v>0</v>
      </c>
      <c r="V53" s="68">
        <f t="shared" si="15"/>
        <v>0</v>
      </c>
      <c r="W53" s="68">
        <f t="shared" si="15"/>
        <v>0</v>
      </c>
      <c r="X53" s="68">
        <f t="shared" si="15"/>
        <v>0</v>
      </c>
      <c r="Y53" s="68">
        <f t="shared" si="15"/>
        <v>0</v>
      </c>
      <c r="Z53" s="1506"/>
      <c r="AA53" s="1499">
        <f t="shared" si="17"/>
        <v>0</v>
      </c>
      <c r="AB53" s="68">
        <f t="shared" si="17"/>
        <v>0</v>
      </c>
      <c r="AC53" s="68">
        <f t="shared" si="17"/>
        <v>0</v>
      </c>
      <c r="AD53" s="68">
        <f t="shared" si="17"/>
        <v>0</v>
      </c>
      <c r="AE53" s="68">
        <f t="shared" si="17"/>
        <v>0</v>
      </c>
      <c r="AF53" s="68">
        <f t="shared" si="17"/>
        <v>0</v>
      </c>
      <c r="AG53" s="68">
        <f t="shared" si="17"/>
        <v>0</v>
      </c>
      <c r="AH53" s="68">
        <f t="shared" si="17"/>
        <v>0</v>
      </c>
      <c r="AI53" s="68">
        <f t="shared" si="17"/>
        <v>0</v>
      </c>
      <c r="AJ53" s="191"/>
      <c r="AK53" s="78"/>
    </row>
    <row r="54" spans="2:37" x14ac:dyDescent="0.2">
      <c r="B54" s="76"/>
      <c r="C54" s="191"/>
      <c r="D54" s="151"/>
      <c r="E54" s="151"/>
      <c r="F54" s="152"/>
      <c r="G54" s="67"/>
      <c r="H54" s="152"/>
      <c r="I54" s="152"/>
      <c r="J54" s="191"/>
      <c r="K54" s="71">
        <f t="shared" si="18"/>
        <v>0</v>
      </c>
      <c r="L54" s="68">
        <f t="shared" si="19"/>
        <v>0</v>
      </c>
      <c r="M54" s="68">
        <f t="shared" si="20"/>
        <v>0</v>
      </c>
      <c r="N54" s="560" t="str">
        <f t="shared" si="21"/>
        <v>-</v>
      </c>
      <c r="O54" s="68">
        <f t="shared" si="22"/>
        <v>0</v>
      </c>
      <c r="P54" s="191"/>
      <c r="Q54" s="68">
        <f t="shared" ref="Q54:R70" si="24">(IF(Q$8&lt;$H54,0,IF($N54&lt;=Q$8-1,0,$M54)))</f>
        <v>0</v>
      </c>
      <c r="R54" s="68">
        <f t="shared" si="24"/>
        <v>0</v>
      </c>
      <c r="S54" s="68">
        <f t="shared" si="23"/>
        <v>0</v>
      </c>
      <c r="T54" s="68">
        <f t="shared" ref="T54:Y70" si="25">(IF(T$8&lt;$H54,0,IF($N54&lt;=T$8-1,0,$M54)))</f>
        <v>0</v>
      </c>
      <c r="U54" s="68">
        <f t="shared" si="25"/>
        <v>0</v>
      </c>
      <c r="V54" s="68">
        <f t="shared" si="25"/>
        <v>0</v>
      </c>
      <c r="W54" s="68">
        <f t="shared" si="25"/>
        <v>0</v>
      </c>
      <c r="X54" s="68">
        <f t="shared" si="25"/>
        <v>0</v>
      </c>
      <c r="Y54" s="68">
        <f t="shared" si="25"/>
        <v>0</v>
      </c>
      <c r="Z54" s="1506"/>
      <c r="AA54" s="1499">
        <f t="shared" ref="AA54:AI63" si="26">IF(AA$8=$H54,($F54*$G54),0)</f>
        <v>0</v>
      </c>
      <c r="AB54" s="68">
        <f t="shared" si="26"/>
        <v>0</v>
      </c>
      <c r="AC54" s="68">
        <f t="shared" si="26"/>
        <v>0</v>
      </c>
      <c r="AD54" s="68">
        <f t="shared" si="26"/>
        <v>0</v>
      </c>
      <c r="AE54" s="68">
        <f t="shared" si="26"/>
        <v>0</v>
      </c>
      <c r="AF54" s="68">
        <f t="shared" si="26"/>
        <v>0</v>
      </c>
      <c r="AG54" s="68">
        <f t="shared" si="26"/>
        <v>0</v>
      </c>
      <c r="AH54" s="68">
        <f t="shared" si="26"/>
        <v>0</v>
      </c>
      <c r="AI54" s="68">
        <f t="shared" si="26"/>
        <v>0</v>
      </c>
      <c r="AJ54" s="191"/>
      <c r="AK54" s="78"/>
    </row>
    <row r="55" spans="2:37" x14ac:dyDescent="0.2">
      <c r="B55" s="76"/>
      <c r="C55" s="191"/>
      <c r="D55" s="151"/>
      <c r="E55" s="151"/>
      <c r="F55" s="152"/>
      <c r="G55" s="67"/>
      <c r="H55" s="152"/>
      <c r="I55" s="152"/>
      <c r="J55" s="191"/>
      <c r="K55" s="71">
        <f t="shared" si="18"/>
        <v>0</v>
      </c>
      <c r="L55" s="68">
        <f t="shared" si="19"/>
        <v>0</v>
      </c>
      <c r="M55" s="68">
        <f t="shared" si="20"/>
        <v>0</v>
      </c>
      <c r="N55" s="560" t="str">
        <f t="shared" si="21"/>
        <v>-</v>
      </c>
      <c r="O55" s="68">
        <f t="shared" si="22"/>
        <v>0</v>
      </c>
      <c r="P55" s="191"/>
      <c r="Q55" s="68">
        <f t="shared" si="24"/>
        <v>0</v>
      </c>
      <c r="R55" s="68">
        <f t="shared" si="24"/>
        <v>0</v>
      </c>
      <c r="S55" s="68">
        <f t="shared" si="23"/>
        <v>0</v>
      </c>
      <c r="T55" s="68">
        <f t="shared" si="25"/>
        <v>0</v>
      </c>
      <c r="U55" s="68">
        <f t="shared" si="25"/>
        <v>0</v>
      </c>
      <c r="V55" s="68">
        <f t="shared" si="25"/>
        <v>0</v>
      </c>
      <c r="W55" s="68">
        <f t="shared" si="25"/>
        <v>0</v>
      </c>
      <c r="X55" s="68">
        <f t="shared" si="25"/>
        <v>0</v>
      </c>
      <c r="Y55" s="68">
        <f t="shared" si="25"/>
        <v>0</v>
      </c>
      <c r="Z55" s="1506"/>
      <c r="AA55" s="1499">
        <f t="shared" si="26"/>
        <v>0</v>
      </c>
      <c r="AB55" s="68">
        <f t="shared" si="26"/>
        <v>0</v>
      </c>
      <c r="AC55" s="68">
        <f t="shared" si="26"/>
        <v>0</v>
      </c>
      <c r="AD55" s="68">
        <f t="shared" si="26"/>
        <v>0</v>
      </c>
      <c r="AE55" s="68">
        <f t="shared" si="26"/>
        <v>0</v>
      </c>
      <c r="AF55" s="68">
        <f t="shared" si="26"/>
        <v>0</v>
      </c>
      <c r="AG55" s="68">
        <f t="shared" si="26"/>
        <v>0</v>
      </c>
      <c r="AH55" s="68">
        <f t="shared" si="26"/>
        <v>0</v>
      </c>
      <c r="AI55" s="68">
        <f t="shared" si="26"/>
        <v>0</v>
      </c>
      <c r="AJ55" s="191"/>
      <c r="AK55" s="78"/>
    </row>
    <row r="56" spans="2:37" x14ac:dyDescent="0.2">
      <c r="B56" s="76"/>
      <c r="C56" s="191"/>
      <c r="D56" s="151"/>
      <c r="E56" s="151"/>
      <c r="F56" s="152"/>
      <c r="G56" s="67"/>
      <c r="H56" s="152"/>
      <c r="I56" s="152"/>
      <c r="J56" s="191"/>
      <c r="K56" s="71">
        <f t="shared" si="18"/>
        <v>0</v>
      </c>
      <c r="L56" s="68">
        <f t="shared" si="19"/>
        <v>0</v>
      </c>
      <c r="M56" s="68">
        <f t="shared" si="20"/>
        <v>0</v>
      </c>
      <c r="N56" s="560" t="str">
        <f t="shared" si="21"/>
        <v>-</v>
      </c>
      <c r="O56" s="68">
        <f t="shared" si="22"/>
        <v>0</v>
      </c>
      <c r="P56" s="191"/>
      <c r="Q56" s="68">
        <f t="shared" si="24"/>
        <v>0</v>
      </c>
      <c r="R56" s="68">
        <f t="shared" si="24"/>
        <v>0</v>
      </c>
      <c r="S56" s="68">
        <f t="shared" si="23"/>
        <v>0</v>
      </c>
      <c r="T56" s="68">
        <f t="shared" si="25"/>
        <v>0</v>
      </c>
      <c r="U56" s="68">
        <f t="shared" si="25"/>
        <v>0</v>
      </c>
      <c r="V56" s="68">
        <f t="shared" si="25"/>
        <v>0</v>
      </c>
      <c r="W56" s="68">
        <f t="shared" si="25"/>
        <v>0</v>
      </c>
      <c r="X56" s="68">
        <f t="shared" si="25"/>
        <v>0</v>
      </c>
      <c r="Y56" s="68">
        <f t="shared" si="25"/>
        <v>0</v>
      </c>
      <c r="Z56" s="1506"/>
      <c r="AA56" s="1499">
        <f t="shared" si="26"/>
        <v>0</v>
      </c>
      <c r="AB56" s="68">
        <f t="shared" si="26"/>
        <v>0</v>
      </c>
      <c r="AC56" s="68">
        <f t="shared" si="26"/>
        <v>0</v>
      </c>
      <c r="AD56" s="68">
        <f t="shared" si="26"/>
        <v>0</v>
      </c>
      <c r="AE56" s="68">
        <f t="shared" si="26"/>
        <v>0</v>
      </c>
      <c r="AF56" s="68">
        <f t="shared" si="26"/>
        <v>0</v>
      </c>
      <c r="AG56" s="68">
        <f t="shared" si="26"/>
        <v>0</v>
      </c>
      <c r="AH56" s="68">
        <f t="shared" si="26"/>
        <v>0</v>
      </c>
      <c r="AI56" s="68">
        <f t="shared" si="26"/>
        <v>0</v>
      </c>
      <c r="AJ56" s="191"/>
      <c r="AK56" s="78"/>
    </row>
    <row r="57" spans="2:37" x14ac:dyDescent="0.2">
      <c r="B57" s="76"/>
      <c r="C57" s="191"/>
      <c r="D57" s="151"/>
      <c r="E57" s="151"/>
      <c r="F57" s="152"/>
      <c r="G57" s="67"/>
      <c r="H57" s="152"/>
      <c r="I57" s="152"/>
      <c r="J57" s="191"/>
      <c r="K57" s="71">
        <f t="shared" si="18"/>
        <v>0</v>
      </c>
      <c r="L57" s="68">
        <f t="shared" si="19"/>
        <v>0</v>
      </c>
      <c r="M57" s="68">
        <f t="shared" si="20"/>
        <v>0</v>
      </c>
      <c r="N57" s="560" t="str">
        <f t="shared" si="21"/>
        <v>-</v>
      </c>
      <c r="O57" s="68">
        <f t="shared" si="22"/>
        <v>0</v>
      </c>
      <c r="P57" s="191"/>
      <c r="Q57" s="68">
        <f t="shared" si="24"/>
        <v>0</v>
      </c>
      <c r="R57" s="68">
        <f t="shared" si="24"/>
        <v>0</v>
      </c>
      <c r="S57" s="68">
        <f t="shared" si="23"/>
        <v>0</v>
      </c>
      <c r="T57" s="68">
        <f t="shared" si="25"/>
        <v>0</v>
      </c>
      <c r="U57" s="68">
        <f t="shared" si="25"/>
        <v>0</v>
      </c>
      <c r="V57" s="68">
        <f t="shared" si="25"/>
        <v>0</v>
      </c>
      <c r="W57" s="68">
        <f t="shared" si="25"/>
        <v>0</v>
      </c>
      <c r="X57" s="68">
        <f t="shared" si="25"/>
        <v>0</v>
      </c>
      <c r="Y57" s="68">
        <f t="shared" si="25"/>
        <v>0</v>
      </c>
      <c r="Z57" s="1506"/>
      <c r="AA57" s="1499">
        <f t="shared" si="26"/>
        <v>0</v>
      </c>
      <c r="AB57" s="68">
        <f t="shared" si="26"/>
        <v>0</v>
      </c>
      <c r="AC57" s="68">
        <f t="shared" si="26"/>
        <v>0</v>
      </c>
      <c r="AD57" s="68">
        <f t="shared" si="26"/>
        <v>0</v>
      </c>
      <c r="AE57" s="68">
        <f t="shared" si="26"/>
        <v>0</v>
      </c>
      <c r="AF57" s="68">
        <f t="shared" si="26"/>
        <v>0</v>
      </c>
      <c r="AG57" s="68">
        <f t="shared" si="26"/>
        <v>0</v>
      </c>
      <c r="AH57" s="68">
        <f t="shared" si="26"/>
        <v>0</v>
      </c>
      <c r="AI57" s="68">
        <f t="shared" si="26"/>
        <v>0</v>
      </c>
      <c r="AJ57" s="191"/>
      <c r="AK57" s="78"/>
    </row>
    <row r="58" spans="2:37" x14ac:dyDescent="0.2">
      <c r="B58" s="76"/>
      <c r="C58" s="191"/>
      <c r="D58" s="151"/>
      <c r="E58" s="151"/>
      <c r="F58" s="152"/>
      <c r="G58" s="67"/>
      <c r="H58" s="152"/>
      <c r="I58" s="152"/>
      <c r="J58" s="191"/>
      <c r="K58" s="71">
        <f t="shared" si="18"/>
        <v>0</v>
      </c>
      <c r="L58" s="68">
        <f t="shared" si="19"/>
        <v>0</v>
      </c>
      <c r="M58" s="68">
        <f t="shared" si="20"/>
        <v>0</v>
      </c>
      <c r="N58" s="560" t="str">
        <f t="shared" si="21"/>
        <v>-</v>
      </c>
      <c r="O58" s="68">
        <f t="shared" si="22"/>
        <v>0</v>
      </c>
      <c r="P58" s="191"/>
      <c r="Q58" s="68">
        <f t="shared" si="24"/>
        <v>0</v>
      </c>
      <c r="R58" s="68">
        <f t="shared" si="24"/>
        <v>0</v>
      </c>
      <c r="S58" s="68">
        <f t="shared" si="23"/>
        <v>0</v>
      </c>
      <c r="T58" s="68">
        <f t="shared" si="25"/>
        <v>0</v>
      </c>
      <c r="U58" s="68">
        <f t="shared" si="25"/>
        <v>0</v>
      </c>
      <c r="V58" s="68">
        <f t="shared" si="25"/>
        <v>0</v>
      </c>
      <c r="W58" s="68">
        <f t="shared" si="25"/>
        <v>0</v>
      </c>
      <c r="X58" s="68">
        <f t="shared" si="25"/>
        <v>0</v>
      </c>
      <c r="Y58" s="68">
        <f t="shared" si="25"/>
        <v>0</v>
      </c>
      <c r="Z58" s="1506"/>
      <c r="AA58" s="1499">
        <f t="shared" si="26"/>
        <v>0</v>
      </c>
      <c r="AB58" s="68">
        <f t="shared" si="26"/>
        <v>0</v>
      </c>
      <c r="AC58" s="68">
        <f t="shared" si="26"/>
        <v>0</v>
      </c>
      <c r="AD58" s="68">
        <f t="shared" si="26"/>
        <v>0</v>
      </c>
      <c r="AE58" s="68">
        <f t="shared" si="26"/>
        <v>0</v>
      </c>
      <c r="AF58" s="68">
        <f t="shared" si="26"/>
        <v>0</v>
      </c>
      <c r="AG58" s="68">
        <f t="shared" si="26"/>
        <v>0</v>
      </c>
      <c r="AH58" s="68">
        <f t="shared" si="26"/>
        <v>0</v>
      </c>
      <c r="AI58" s="68">
        <f t="shared" si="26"/>
        <v>0</v>
      </c>
      <c r="AJ58" s="191"/>
      <c r="AK58" s="78"/>
    </row>
    <row r="59" spans="2:37" x14ac:dyDescent="0.2">
      <c r="B59" s="76"/>
      <c r="C59" s="191"/>
      <c r="D59" s="151"/>
      <c r="E59" s="151"/>
      <c r="F59" s="152"/>
      <c r="G59" s="67"/>
      <c r="H59" s="152"/>
      <c r="I59" s="152"/>
      <c r="J59" s="191"/>
      <c r="K59" s="71">
        <f t="shared" si="18"/>
        <v>0</v>
      </c>
      <c r="L59" s="68">
        <f t="shared" si="19"/>
        <v>0</v>
      </c>
      <c r="M59" s="68">
        <f t="shared" si="20"/>
        <v>0</v>
      </c>
      <c r="N59" s="560" t="str">
        <f t="shared" si="21"/>
        <v>-</v>
      </c>
      <c r="O59" s="68">
        <f t="shared" si="22"/>
        <v>0</v>
      </c>
      <c r="P59" s="191"/>
      <c r="Q59" s="68">
        <f t="shared" si="24"/>
        <v>0</v>
      </c>
      <c r="R59" s="68">
        <f t="shared" si="24"/>
        <v>0</v>
      </c>
      <c r="S59" s="68">
        <f t="shared" si="23"/>
        <v>0</v>
      </c>
      <c r="T59" s="68">
        <f t="shared" si="25"/>
        <v>0</v>
      </c>
      <c r="U59" s="68">
        <f t="shared" si="25"/>
        <v>0</v>
      </c>
      <c r="V59" s="68">
        <f t="shared" si="25"/>
        <v>0</v>
      </c>
      <c r="W59" s="68">
        <f t="shared" si="25"/>
        <v>0</v>
      </c>
      <c r="X59" s="68">
        <f t="shared" si="25"/>
        <v>0</v>
      </c>
      <c r="Y59" s="68">
        <f t="shared" si="25"/>
        <v>0</v>
      </c>
      <c r="Z59" s="1506"/>
      <c r="AA59" s="1499">
        <f t="shared" si="26"/>
        <v>0</v>
      </c>
      <c r="AB59" s="68">
        <f t="shared" si="26"/>
        <v>0</v>
      </c>
      <c r="AC59" s="68">
        <f t="shared" si="26"/>
        <v>0</v>
      </c>
      <c r="AD59" s="68">
        <f t="shared" si="26"/>
        <v>0</v>
      </c>
      <c r="AE59" s="68">
        <f t="shared" si="26"/>
        <v>0</v>
      </c>
      <c r="AF59" s="68">
        <f t="shared" si="26"/>
        <v>0</v>
      </c>
      <c r="AG59" s="68">
        <f t="shared" si="26"/>
        <v>0</v>
      </c>
      <c r="AH59" s="68">
        <f t="shared" si="26"/>
        <v>0</v>
      </c>
      <c r="AI59" s="68">
        <f t="shared" si="26"/>
        <v>0</v>
      </c>
      <c r="AJ59" s="191"/>
      <c r="AK59" s="78"/>
    </row>
    <row r="60" spans="2:37" x14ac:dyDescent="0.2">
      <c r="B60" s="76"/>
      <c r="C60" s="191"/>
      <c r="D60" s="151"/>
      <c r="E60" s="151"/>
      <c r="F60" s="152"/>
      <c r="G60" s="67"/>
      <c r="H60" s="152"/>
      <c r="I60" s="152"/>
      <c r="J60" s="191"/>
      <c r="K60" s="71">
        <f t="shared" si="18"/>
        <v>0</v>
      </c>
      <c r="L60" s="68">
        <f t="shared" si="19"/>
        <v>0</v>
      </c>
      <c r="M60" s="68">
        <f t="shared" si="20"/>
        <v>0</v>
      </c>
      <c r="N60" s="560" t="str">
        <f t="shared" si="21"/>
        <v>-</v>
      </c>
      <c r="O60" s="68">
        <f t="shared" si="22"/>
        <v>0</v>
      </c>
      <c r="P60" s="191"/>
      <c r="Q60" s="68">
        <f t="shared" si="24"/>
        <v>0</v>
      </c>
      <c r="R60" s="68">
        <f t="shared" si="24"/>
        <v>0</v>
      </c>
      <c r="S60" s="68">
        <f t="shared" si="23"/>
        <v>0</v>
      </c>
      <c r="T60" s="68">
        <f t="shared" si="25"/>
        <v>0</v>
      </c>
      <c r="U60" s="68">
        <f t="shared" si="25"/>
        <v>0</v>
      </c>
      <c r="V60" s="68">
        <f t="shared" si="25"/>
        <v>0</v>
      </c>
      <c r="W60" s="68">
        <f t="shared" si="25"/>
        <v>0</v>
      </c>
      <c r="X60" s="68">
        <f t="shared" si="25"/>
        <v>0</v>
      </c>
      <c r="Y60" s="68">
        <f t="shared" si="25"/>
        <v>0</v>
      </c>
      <c r="Z60" s="1506"/>
      <c r="AA60" s="1499">
        <f t="shared" si="26"/>
        <v>0</v>
      </c>
      <c r="AB60" s="68">
        <f t="shared" si="26"/>
        <v>0</v>
      </c>
      <c r="AC60" s="68">
        <f t="shared" si="26"/>
        <v>0</v>
      </c>
      <c r="AD60" s="68">
        <f t="shared" si="26"/>
        <v>0</v>
      </c>
      <c r="AE60" s="68">
        <f t="shared" si="26"/>
        <v>0</v>
      </c>
      <c r="AF60" s="68">
        <f t="shared" si="26"/>
        <v>0</v>
      </c>
      <c r="AG60" s="68">
        <f t="shared" si="26"/>
        <v>0</v>
      </c>
      <c r="AH60" s="68">
        <f t="shared" si="26"/>
        <v>0</v>
      </c>
      <c r="AI60" s="68">
        <f t="shared" si="26"/>
        <v>0</v>
      </c>
      <c r="AJ60" s="191"/>
      <c r="AK60" s="78"/>
    </row>
    <row r="61" spans="2:37" x14ac:dyDescent="0.2">
      <c r="B61" s="76"/>
      <c r="C61" s="191"/>
      <c r="D61" s="151"/>
      <c r="E61" s="151"/>
      <c r="F61" s="152"/>
      <c r="G61" s="67"/>
      <c r="H61" s="152"/>
      <c r="I61" s="152"/>
      <c r="J61" s="191"/>
      <c r="K61" s="71">
        <f t="shared" si="18"/>
        <v>0</v>
      </c>
      <c r="L61" s="68">
        <f t="shared" si="19"/>
        <v>0</v>
      </c>
      <c r="M61" s="68">
        <f t="shared" si="20"/>
        <v>0</v>
      </c>
      <c r="N61" s="560" t="str">
        <f t="shared" si="21"/>
        <v>-</v>
      </c>
      <c r="O61" s="68">
        <f t="shared" si="22"/>
        <v>0</v>
      </c>
      <c r="P61" s="191"/>
      <c r="Q61" s="68">
        <f t="shared" si="24"/>
        <v>0</v>
      </c>
      <c r="R61" s="68">
        <f t="shared" si="24"/>
        <v>0</v>
      </c>
      <c r="S61" s="68">
        <f t="shared" si="23"/>
        <v>0</v>
      </c>
      <c r="T61" s="68">
        <f t="shared" si="25"/>
        <v>0</v>
      </c>
      <c r="U61" s="68">
        <f t="shared" si="25"/>
        <v>0</v>
      </c>
      <c r="V61" s="68">
        <f t="shared" si="25"/>
        <v>0</v>
      </c>
      <c r="W61" s="68">
        <f t="shared" si="25"/>
        <v>0</v>
      </c>
      <c r="X61" s="68">
        <f t="shared" si="25"/>
        <v>0</v>
      </c>
      <c r="Y61" s="68">
        <f t="shared" si="25"/>
        <v>0</v>
      </c>
      <c r="Z61" s="1506"/>
      <c r="AA61" s="1499">
        <f t="shared" si="26"/>
        <v>0</v>
      </c>
      <c r="AB61" s="68">
        <f t="shared" si="26"/>
        <v>0</v>
      </c>
      <c r="AC61" s="68">
        <f t="shared" si="26"/>
        <v>0</v>
      </c>
      <c r="AD61" s="68">
        <f t="shared" si="26"/>
        <v>0</v>
      </c>
      <c r="AE61" s="68">
        <f t="shared" si="26"/>
        <v>0</v>
      </c>
      <c r="AF61" s="68">
        <f t="shared" si="26"/>
        <v>0</v>
      </c>
      <c r="AG61" s="68">
        <f t="shared" si="26"/>
        <v>0</v>
      </c>
      <c r="AH61" s="68">
        <f t="shared" si="26"/>
        <v>0</v>
      </c>
      <c r="AI61" s="68">
        <f t="shared" si="26"/>
        <v>0</v>
      </c>
      <c r="AJ61" s="191"/>
      <c r="AK61" s="78"/>
    </row>
    <row r="62" spans="2:37" x14ac:dyDescent="0.2">
      <c r="B62" s="76"/>
      <c r="C62" s="191"/>
      <c r="D62" s="151"/>
      <c r="E62" s="151"/>
      <c r="F62" s="152"/>
      <c r="G62" s="67"/>
      <c r="H62" s="152"/>
      <c r="I62" s="152"/>
      <c r="J62" s="191"/>
      <c r="K62" s="71">
        <f t="shared" si="18"/>
        <v>0</v>
      </c>
      <c r="L62" s="68">
        <f t="shared" si="19"/>
        <v>0</v>
      </c>
      <c r="M62" s="68">
        <f t="shared" si="20"/>
        <v>0</v>
      </c>
      <c r="N62" s="560" t="str">
        <f t="shared" si="21"/>
        <v>-</v>
      </c>
      <c r="O62" s="68">
        <f t="shared" si="22"/>
        <v>0</v>
      </c>
      <c r="P62" s="191"/>
      <c r="Q62" s="68">
        <f t="shared" si="24"/>
        <v>0</v>
      </c>
      <c r="R62" s="68">
        <f t="shared" si="24"/>
        <v>0</v>
      </c>
      <c r="S62" s="68">
        <f t="shared" si="23"/>
        <v>0</v>
      </c>
      <c r="T62" s="68">
        <f t="shared" si="25"/>
        <v>0</v>
      </c>
      <c r="U62" s="68">
        <f t="shared" si="25"/>
        <v>0</v>
      </c>
      <c r="V62" s="68">
        <f t="shared" si="25"/>
        <v>0</v>
      </c>
      <c r="W62" s="68">
        <f t="shared" si="25"/>
        <v>0</v>
      </c>
      <c r="X62" s="68">
        <f t="shared" si="25"/>
        <v>0</v>
      </c>
      <c r="Y62" s="68">
        <f t="shared" si="25"/>
        <v>0</v>
      </c>
      <c r="Z62" s="1506"/>
      <c r="AA62" s="1499">
        <f t="shared" si="26"/>
        <v>0</v>
      </c>
      <c r="AB62" s="68">
        <f t="shared" si="26"/>
        <v>0</v>
      </c>
      <c r="AC62" s="68">
        <f t="shared" si="26"/>
        <v>0</v>
      </c>
      <c r="AD62" s="68">
        <f t="shared" si="26"/>
        <v>0</v>
      </c>
      <c r="AE62" s="68">
        <f t="shared" si="26"/>
        <v>0</v>
      </c>
      <c r="AF62" s="68">
        <f t="shared" si="26"/>
        <v>0</v>
      </c>
      <c r="AG62" s="68">
        <f t="shared" si="26"/>
        <v>0</v>
      </c>
      <c r="AH62" s="68">
        <f t="shared" si="26"/>
        <v>0</v>
      </c>
      <c r="AI62" s="68">
        <f t="shared" si="26"/>
        <v>0</v>
      </c>
      <c r="AJ62" s="191"/>
      <c r="AK62" s="78"/>
    </row>
    <row r="63" spans="2:37" x14ac:dyDescent="0.2">
      <c r="B63" s="76"/>
      <c r="C63" s="191"/>
      <c r="D63" s="151"/>
      <c r="E63" s="151"/>
      <c r="F63" s="152"/>
      <c r="G63" s="67"/>
      <c r="H63" s="152"/>
      <c r="I63" s="152"/>
      <c r="J63" s="191"/>
      <c r="K63" s="71">
        <f t="shared" si="18"/>
        <v>0</v>
      </c>
      <c r="L63" s="68">
        <f t="shared" si="19"/>
        <v>0</v>
      </c>
      <c r="M63" s="68">
        <f t="shared" si="20"/>
        <v>0</v>
      </c>
      <c r="N63" s="560" t="str">
        <f t="shared" si="21"/>
        <v>-</v>
      </c>
      <c r="O63" s="68">
        <f t="shared" si="22"/>
        <v>0</v>
      </c>
      <c r="P63" s="191"/>
      <c r="Q63" s="68">
        <f t="shared" si="24"/>
        <v>0</v>
      </c>
      <c r="R63" s="68">
        <f t="shared" si="24"/>
        <v>0</v>
      </c>
      <c r="S63" s="68">
        <f t="shared" si="23"/>
        <v>0</v>
      </c>
      <c r="T63" s="68">
        <f t="shared" si="25"/>
        <v>0</v>
      </c>
      <c r="U63" s="68">
        <f t="shared" si="25"/>
        <v>0</v>
      </c>
      <c r="V63" s="68">
        <f t="shared" si="25"/>
        <v>0</v>
      </c>
      <c r="W63" s="68">
        <f t="shared" si="25"/>
        <v>0</v>
      </c>
      <c r="X63" s="68">
        <f t="shared" si="25"/>
        <v>0</v>
      </c>
      <c r="Y63" s="68">
        <f t="shared" si="25"/>
        <v>0</v>
      </c>
      <c r="Z63" s="1506"/>
      <c r="AA63" s="1499">
        <f t="shared" si="26"/>
        <v>0</v>
      </c>
      <c r="AB63" s="68">
        <f t="shared" si="26"/>
        <v>0</v>
      </c>
      <c r="AC63" s="68">
        <f t="shared" si="26"/>
        <v>0</v>
      </c>
      <c r="AD63" s="68">
        <f t="shared" si="26"/>
        <v>0</v>
      </c>
      <c r="AE63" s="68">
        <f t="shared" si="26"/>
        <v>0</v>
      </c>
      <c r="AF63" s="68">
        <f t="shared" si="26"/>
        <v>0</v>
      </c>
      <c r="AG63" s="68">
        <f t="shared" si="26"/>
        <v>0</v>
      </c>
      <c r="AH63" s="68">
        <f t="shared" si="26"/>
        <v>0</v>
      </c>
      <c r="AI63" s="68">
        <f t="shared" si="26"/>
        <v>0</v>
      </c>
      <c r="AJ63" s="191"/>
      <c r="AK63" s="78"/>
    </row>
    <row r="64" spans="2:37" x14ac:dyDescent="0.2">
      <c r="B64" s="76"/>
      <c r="C64" s="191"/>
      <c r="D64" s="151"/>
      <c r="E64" s="151"/>
      <c r="F64" s="152"/>
      <c r="G64" s="67"/>
      <c r="H64" s="152"/>
      <c r="I64" s="152"/>
      <c r="J64" s="191"/>
      <c r="K64" s="71">
        <f t="shared" si="18"/>
        <v>0</v>
      </c>
      <c r="L64" s="68">
        <f t="shared" si="19"/>
        <v>0</v>
      </c>
      <c r="M64" s="68">
        <f t="shared" si="20"/>
        <v>0</v>
      </c>
      <c r="N64" s="560" t="str">
        <f t="shared" si="21"/>
        <v>-</v>
      </c>
      <c r="O64" s="68">
        <f t="shared" si="22"/>
        <v>0</v>
      </c>
      <c r="P64" s="191"/>
      <c r="Q64" s="68">
        <f t="shared" si="24"/>
        <v>0</v>
      </c>
      <c r="R64" s="68">
        <f t="shared" si="24"/>
        <v>0</v>
      </c>
      <c r="S64" s="68">
        <f t="shared" si="23"/>
        <v>0</v>
      </c>
      <c r="T64" s="68">
        <f t="shared" si="25"/>
        <v>0</v>
      </c>
      <c r="U64" s="68">
        <f t="shared" si="25"/>
        <v>0</v>
      </c>
      <c r="V64" s="68">
        <f t="shared" si="25"/>
        <v>0</v>
      </c>
      <c r="W64" s="68">
        <f t="shared" si="25"/>
        <v>0</v>
      </c>
      <c r="X64" s="68">
        <f t="shared" si="25"/>
        <v>0</v>
      </c>
      <c r="Y64" s="68">
        <f t="shared" si="25"/>
        <v>0</v>
      </c>
      <c r="Z64" s="1506"/>
      <c r="AA64" s="1499">
        <f t="shared" ref="AA64:AI70" si="27">IF(AA$8=$H64,($F64*$G64),0)</f>
        <v>0</v>
      </c>
      <c r="AB64" s="68">
        <f t="shared" si="27"/>
        <v>0</v>
      </c>
      <c r="AC64" s="68">
        <f t="shared" si="27"/>
        <v>0</v>
      </c>
      <c r="AD64" s="68">
        <f t="shared" si="27"/>
        <v>0</v>
      </c>
      <c r="AE64" s="68">
        <f t="shared" si="27"/>
        <v>0</v>
      </c>
      <c r="AF64" s="68">
        <f t="shared" si="27"/>
        <v>0</v>
      </c>
      <c r="AG64" s="68">
        <f t="shared" si="27"/>
        <v>0</v>
      </c>
      <c r="AH64" s="68">
        <f t="shared" si="27"/>
        <v>0</v>
      </c>
      <c r="AI64" s="68">
        <f t="shared" si="27"/>
        <v>0</v>
      </c>
      <c r="AJ64" s="191"/>
      <c r="AK64" s="78"/>
    </row>
    <row r="65" spans="2:37" x14ac:dyDescent="0.2">
      <c r="B65" s="76"/>
      <c r="C65" s="191"/>
      <c r="D65" s="151"/>
      <c r="E65" s="151"/>
      <c r="F65" s="152"/>
      <c r="G65" s="67"/>
      <c r="H65" s="152"/>
      <c r="I65" s="152"/>
      <c r="J65" s="191"/>
      <c r="K65" s="71">
        <f t="shared" si="18"/>
        <v>0</v>
      </c>
      <c r="L65" s="68">
        <f t="shared" si="19"/>
        <v>0</v>
      </c>
      <c r="M65" s="68">
        <f t="shared" si="20"/>
        <v>0</v>
      </c>
      <c r="N65" s="560" t="str">
        <f t="shared" si="21"/>
        <v>-</v>
      </c>
      <c r="O65" s="68">
        <f t="shared" si="22"/>
        <v>0</v>
      </c>
      <c r="P65" s="191"/>
      <c r="Q65" s="68">
        <f t="shared" si="24"/>
        <v>0</v>
      </c>
      <c r="R65" s="68">
        <f t="shared" si="24"/>
        <v>0</v>
      </c>
      <c r="S65" s="68">
        <f t="shared" si="23"/>
        <v>0</v>
      </c>
      <c r="T65" s="68">
        <f t="shared" si="25"/>
        <v>0</v>
      </c>
      <c r="U65" s="68">
        <f t="shared" si="25"/>
        <v>0</v>
      </c>
      <c r="V65" s="68">
        <f t="shared" si="25"/>
        <v>0</v>
      </c>
      <c r="W65" s="68">
        <f t="shared" si="25"/>
        <v>0</v>
      </c>
      <c r="X65" s="68">
        <f t="shared" si="25"/>
        <v>0</v>
      </c>
      <c r="Y65" s="68">
        <f t="shared" si="25"/>
        <v>0</v>
      </c>
      <c r="Z65" s="1506"/>
      <c r="AA65" s="1499">
        <f t="shared" si="27"/>
        <v>0</v>
      </c>
      <c r="AB65" s="68">
        <f t="shared" si="27"/>
        <v>0</v>
      </c>
      <c r="AC65" s="68">
        <f t="shared" si="27"/>
        <v>0</v>
      </c>
      <c r="AD65" s="68">
        <f t="shared" si="27"/>
        <v>0</v>
      </c>
      <c r="AE65" s="68">
        <f t="shared" si="27"/>
        <v>0</v>
      </c>
      <c r="AF65" s="68">
        <f t="shared" si="27"/>
        <v>0</v>
      </c>
      <c r="AG65" s="68">
        <f t="shared" si="27"/>
        <v>0</v>
      </c>
      <c r="AH65" s="68">
        <f t="shared" si="27"/>
        <v>0</v>
      </c>
      <c r="AI65" s="68">
        <f t="shared" si="27"/>
        <v>0</v>
      </c>
      <c r="AJ65" s="191"/>
      <c r="AK65" s="78"/>
    </row>
    <row r="66" spans="2:37" x14ac:dyDescent="0.2">
      <c r="B66" s="76"/>
      <c r="C66" s="191"/>
      <c r="D66" s="151"/>
      <c r="E66" s="151"/>
      <c r="F66" s="152"/>
      <c r="G66" s="67"/>
      <c r="H66" s="152"/>
      <c r="I66" s="152"/>
      <c r="J66" s="191"/>
      <c r="K66" s="71">
        <f t="shared" si="18"/>
        <v>0</v>
      </c>
      <c r="L66" s="68">
        <f t="shared" si="19"/>
        <v>0</v>
      </c>
      <c r="M66" s="68">
        <f t="shared" si="20"/>
        <v>0</v>
      </c>
      <c r="N66" s="560" t="str">
        <f t="shared" si="21"/>
        <v>-</v>
      </c>
      <c r="O66" s="68">
        <f t="shared" si="22"/>
        <v>0</v>
      </c>
      <c r="P66" s="191"/>
      <c r="Q66" s="68">
        <f t="shared" si="24"/>
        <v>0</v>
      </c>
      <c r="R66" s="68">
        <f t="shared" si="24"/>
        <v>0</v>
      </c>
      <c r="S66" s="68">
        <f t="shared" si="23"/>
        <v>0</v>
      </c>
      <c r="T66" s="68">
        <f t="shared" si="25"/>
        <v>0</v>
      </c>
      <c r="U66" s="68">
        <f t="shared" si="25"/>
        <v>0</v>
      </c>
      <c r="V66" s="68">
        <f t="shared" si="25"/>
        <v>0</v>
      </c>
      <c r="W66" s="68">
        <f t="shared" si="25"/>
        <v>0</v>
      </c>
      <c r="X66" s="68">
        <f t="shared" si="25"/>
        <v>0</v>
      </c>
      <c r="Y66" s="68">
        <f t="shared" si="25"/>
        <v>0</v>
      </c>
      <c r="Z66" s="1506"/>
      <c r="AA66" s="1499">
        <f t="shared" si="27"/>
        <v>0</v>
      </c>
      <c r="AB66" s="68">
        <f t="shared" si="27"/>
        <v>0</v>
      </c>
      <c r="AC66" s="68">
        <f t="shared" si="27"/>
        <v>0</v>
      </c>
      <c r="AD66" s="68">
        <f t="shared" si="27"/>
        <v>0</v>
      </c>
      <c r="AE66" s="68">
        <f t="shared" si="27"/>
        <v>0</v>
      </c>
      <c r="AF66" s="68">
        <f t="shared" si="27"/>
        <v>0</v>
      </c>
      <c r="AG66" s="68">
        <f t="shared" si="27"/>
        <v>0</v>
      </c>
      <c r="AH66" s="68">
        <f t="shared" si="27"/>
        <v>0</v>
      </c>
      <c r="AI66" s="68">
        <f t="shared" si="27"/>
        <v>0</v>
      </c>
      <c r="AJ66" s="191"/>
      <c r="AK66" s="78"/>
    </row>
    <row r="67" spans="2:37" x14ac:dyDescent="0.2">
      <c r="B67" s="76"/>
      <c r="C67" s="191"/>
      <c r="D67" s="151"/>
      <c r="E67" s="151"/>
      <c r="F67" s="152"/>
      <c r="G67" s="67"/>
      <c r="H67" s="152"/>
      <c r="I67" s="152"/>
      <c r="J67" s="191"/>
      <c r="K67" s="71">
        <f t="shared" si="18"/>
        <v>0</v>
      </c>
      <c r="L67" s="68">
        <f t="shared" si="19"/>
        <v>0</v>
      </c>
      <c r="M67" s="68">
        <f t="shared" si="20"/>
        <v>0</v>
      </c>
      <c r="N67" s="560" t="str">
        <f t="shared" si="21"/>
        <v>-</v>
      </c>
      <c r="O67" s="68">
        <f t="shared" si="22"/>
        <v>0</v>
      </c>
      <c r="P67" s="191"/>
      <c r="Q67" s="68">
        <f t="shared" si="24"/>
        <v>0</v>
      </c>
      <c r="R67" s="68">
        <f t="shared" si="24"/>
        <v>0</v>
      </c>
      <c r="S67" s="68">
        <f t="shared" si="23"/>
        <v>0</v>
      </c>
      <c r="T67" s="68">
        <f t="shared" si="25"/>
        <v>0</v>
      </c>
      <c r="U67" s="68">
        <f t="shared" si="25"/>
        <v>0</v>
      </c>
      <c r="V67" s="68">
        <f t="shared" si="25"/>
        <v>0</v>
      </c>
      <c r="W67" s="68">
        <f t="shared" si="25"/>
        <v>0</v>
      </c>
      <c r="X67" s="68">
        <f t="shared" si="25"/>
        <v>0</v>
      </c>
      <c r="Y67" s="68">
        <f t="shared" si="25"/>
        <v>0</v>
      </c>
      <c r="Z67" s="1506"/>
      <c r="AA67" s="1499">
        <f t="shared" si="27"/>
        <v>0</v>
      </c>
      <c r="AB67" s="68">
        <f t="shared" si="27"/>
        <v>0</v>
      </c>
      <c r="AC67" s="68">
        <f t="shared" si="27"/>
        <v>0</v>
      </c>
      <c r="AD67" s="68">
        <f t="shared" si="27"/>
        <v>0</v>
      </c>
      <c r="AE67" s="68">
        <f t="shared" si="27"/>
        <v>0</v>
      </c>
      <c r="AF67" s="68">
        <f t="shared" si="27"/>
        <v>0</v>
      </c>
      <c r="AG67" s="68">
        <f t="shared" si="27"/>
        <v>0</v>
      </c>
      <c r="AH67" s="68">
        <f t="shared" si="27"/>
        <v>0</v>
      </c>
      <c r="AI67" s="68">
        <f t="shared" si="27"/>
        <v>0</v>
      </c>
      <c r="AJ67" s="191"/>
      <c r="AK67" s="78"/>
    </row>
    <row r="68" spans="2:37" x14ac:dyDescent="0.2">
      <c r="B68" s="76"/>
      <c r="C68" s="191"/>
      <c r="D68" s="151"/>
      <c r="E68" s="151"/>
      <c r="F68" s="152"/>
      <c r="G68" s="67"/>
      <c r="H68" s="152"/>
      <c r="I68" s="152"/>
      <c r="J68" s="191"/>
      <c r="K68" s="71">
        <f t="shared" si="18"/>
        <v>0</v>
      </c>
      <c r="L68" s="68">
        <f t="shared" si="19"/>
        <v>0</v>
      </c>
      <c r="M68" s="68">
        <f t="shared" si="20"/>
        <v>0</v>
      </c>
      <c r="N68" s="560" t="str">
        <f t="shared" si="21"/>
        <v>-</v>
      </c>
      <c r="O68" s="68">
        <f t="shared" si="22"/>
        <v>0</v>
      </c>
      <c r="P68" s="191"/>
      <c r="Q68" s="68">
        <f t="shared" si="24"/>
        <v>0</v>
      </c>
      <c r="R68" s="68">
        <f t="shared" si="24"/>
        <v>0</v>
      </c>
      <c r="S68" s="68">
        <f t="shared" si="23"/>
        <v>0</v>
      </c>
      <c r="T68" s="68">
        <f t="shared" si="25"/>
        <v>0</v>
      </c>
      <c r="U68" s="68">
        <f t="shared" si="25"/>
        <v>0</v>
      </c>
      <c r="V68" s="68">
        <f t="shared" si="25"/>
        <v>0</v>
      </c>
      <c r="W68" s="68">
        <f t="shared" si="25"/>
        <v>0</v>
      </c>
      <c r="X68" s="68">
        <f t="shared" si="25"/>
        <v>0</v>
      </c>
      <c r="Y68" s="68">
        <f t="shared" si="25"/>
        <v>0</v>
      </c>
      <c r="Z68" s="1506"/>
      <c r="AA68" s="1499">
        <f t="shared" si="27"/>
        <v>0</v>
      </c>
      <c r="AB68" s="68">
        <f t="shared" si="27"/>
        <v>0</v>
      </c>
      <c r="AC68" s="68">
        <f t="shared" si="27"/>
        <v>0</v>
      </c>
      <c r="AD68" s="68">
        <f t="shared" si="27"/>
        <v>0</v>
      </c>
      <c r="AE68" s="68">
        <f t="shared" si="27"/>
        <v>0</v>
      </c>
      <c r="AF68" s="68">
        <f t="shared" si="27"/>
        <v>0</v>
      </c>
      <c r="AG68" s="68">
        <f t="shared" si="27"/>
        <v>0</v>
      </c>
      <c r="AH68" s="68">
        <f t="shared" si="27"/>
        <v>0</v>
      </c>
      <c r="AI68" s="68">
        <f t="shared" si="27"/>
        <v>0</v>
      </c>
      <c r="AJ68" s="191"/>
      <c r="AK68" s="78"/>
    </row>
    <row r="69" spans="2:37" x14ac:dyDescent="0.2">
      <c r="B69" s="76"/>
      <c r="C69" s="191"/>
      <c r="D69" s="151"/>
      <c r="E69" s="151"/>
      <c r="F69" s="152"/>
      <c r="G69" s="67"/>
      <c r="H69" s="152"/>
      <c r="I69" s="152"/>
      <c r="J69" s="191"/>
      <c r="K69" s="71">
        <f t="shared" si="18"/>
        <v>0</v>
      </c>
      <c r="L69" s="68">
        <f t="shared" si="19"/>
        <v>0</v>
      </c>
      <c r="M69" s="68">
        <f t="shared" si="20"/>
        <v>0</v>
      </c>
      <c r="N69" s="560" t="str">
        <f t="shared" si="21"/>
        <v>-</v>
      </c>
      <c r="O69" s="68">
        <f t="shared" si="22"/>
        <v>0</v>
      </c>
      <c r="P69" s="191"/>
      <c r="Q69" s="68">
        <f t="shared" si="24"/>
        <v>0</v>
      </c>
      <c r="R69" s="68">
        <f t="shared" si="24"/>
        <v>0</v>
      </c>
      <c r="S69" s="68">
        <f t="shared" si="23"/>
        <v>0</v>
      </c>
      <c r="T69" s="68">
        <f t="shared" si="25"/>
        <v>0</v>
      </c>
      <c r="U69" s="68">
        <f t="shared" si="25"/>
        <v>0</v>
      </c>
      <c r="V69" s="68">
        <f t="shared" si="25"/>
        <v>0</v>
      </c>
      <c r="W69" s="68">
        <f t="shared" si="25"/>
        <v>0</v>
      </c>
      <c r="X69" s="68">
        <f t="shared" si="25"/>
        <v>0</v>
      </c>
      <c r="Y69" s="68">
        <f t="shared" si="25"/>
        <v>0</v>
      </c>
      <c r="Z69" s="1506"/>
      <c r="AA69" s="1499">
        <f t="shared" si="27"/>
        <v>0</v>
      </c>
      <c r="AB69" s="68">
        <f t="shared" si="27"/>
        <v>0</v>
      </c>
      <c r="AC69" s="68">
        <f t="shared" si="27"/>
        <v>0</v>
      </c>
      <c r="AD69" s="68">
        <f t="shared" si="27"/>
        <v>0</v>
      </c>
      <c r="AE69" s="68">
        <f t="shared" si="27"/>
        <v>0</v>
      </c>
      <c r="AF69" s="68">
        <f t="shared" si="27"/>
        <v>0</v>
      </c>
      <c r="AG69" s="68">
        <f t="shared" si="27"/>
        <v>0</v>
      </c>
      <c r="AH69" s="68">
        <f t="shared" si="27"/>
        <v>0</v>
      </c>
      <c r="AI69" s="68">
        <f t="shared" si="27"/>
        <v>0</v>
      </c>
      <c r="AJ69" s="191"/>
      <c r="AK69" s="78"/>
    </row>
    <row r="70" spans="2:37" x14ac:dyDescent="0.2">
      <c r="B70" s="76"/>
      <c r="C70" s="191"/>
      <c r="D70" s="71"/>
      <c r="E70" s="71"/>
      <c r="F70" s="71"/>
      <c r="G70" s="71"/>
      <c r="H70" s="71"/>
      <c r="I70" s="71"/>
      <c r="J70" s="191"/>
      <c r="K70" s="71">
        <f t="shared" si="18"/>
        <v>0</v>
      </c>
      <c r="L70" s="561">
        <f t="shared" si="19"/>
        <v>0</v>
      </c>
      <c r="M70" s="561">
        <f t="shared" si="20"/>
        <v>0</v>
      </c>
      <c r="N70" s="562" t="str">
        <f t="shared" si="21"/>
        <v>-</v>
      </c>
      <c r="O70" s="561">
        <f t="shared" si="22"/>
        <v>0</v>
      </c>
      <c r="P70" s="191"/>
      <c r="Q70" s="561">
        <f t="shared" si="24"/>
        <v>0</v>
      </c>
      <c r="R70" s="561">
        <f t="shared" si="24"/>
        <v>0</v>
      </c>
      <c r="S70" s="561">
        <f>(IF(S$8&lt;$H70,0,IF($N70&lt;=S$8-1,0,$M70)))</f>
        <v>0</v>
      </c>
      <c r="T70" s="561">
        <f t="shared" si="25"/>
        <v>0</v>
      </c>
      <c r="U70" s="561">
        <f t="shared" si="25"/>
        <v>0</v>
      </c>
      <c r="V70" s="561">
        <f t="shared" si="25"/>
        <v>0</v>
      </c>
      <c r="W70" s="561">
        <f t="shared" si="25"/>
        <v>0</v>
      </c>
      <c r="X70" s="561">
        <f t="shared" si="25"/>
        <v>0</v>
      </c>
      <c r="Y70" s="561">
        <f t="shared" si="25"/>
        <v>0</v>
      </c>
      <c r="Z70" s="1506"/>
      <c r="AA70" s="1500">
        <f t="shared" si="27"/>
        <v>0</v>
      </c>
      <c r="AB70" s="561">
        <f t="shared" si="27"/>
        <v>0</v>
      </c>
      <c r="AC70" s="561">
        <f t="shared" si="27"/>
        <v>0</v>
      </c>
      <c r="AD70" s="561">
        <f t="shared" si="27"/>
        <v>0</v>
      </c>
      <c r="AE70" s="561">
        <f t="shared" si="27"/>
        <v>0</v>
      </c>
      <c r="AF70" s="561">
        <f t="shared" si="27"/>
        <v>0</v>
      </c>
      <c r="AG70" s="561">
        <f t="shared" si="27"/>
        <v>0</v>
      </c>
      <c r="AH70" s="561">
        <f t="shared" si="27"/>
        <v>0</v>
      </c>
      <c r="AI70" s="561">
        <f t="shared" si="27"/>
        <v>0</v>
      </c>
      <c r="AJ70" s="191"/>
      <c r="AK70" s="78"/>
    </row>
    <row r="71" spans="2:37" x14ac:dyDescent="0.2">
      <c r="B71" s="76"/>
      <c r="C71" s="191"/>
      <c r="D71" s="50"/>
      <c r="E71" s="50"/>
      <c r="F71" s="71"/>
      <c r="G71" s="222"/>
      <c r="H71" s="71"/>
      <c r="I71" s="71"/>
      <c r="J71" s="191"/>
      <c r="K71" s="71"/>
      <c r="L71" s="222"/>
      <c r="M71" s="222"/>
      <c r="N71" s="436"/>
      <c r="O71" s="222"/>
      <c r="P71" s="191"/>
      <c r="Q71" s="222"/>
      <c r="R71" s="222"/>
      <c r="S71" s="222"/>
      <c r="T71" s="222"/>
      <c r="U71" s="222"/>
      <c r="V71" s="222"/>
      <c r="W71" s="222"/>
      <c r="X71" s="222"/>
      <c r="Y71" s="222"/>
      <c r="Z71" s="1506"/>
      <c r="AA71" s="1501"/>
      <c r="AB71" s="222"/>
      <c r="AC71" s="222"/>
      <c r="AD71" s="222"/>
      <c r="AE71" s="222"/>
      <c r="AF71" s="222"/>
      <c r="AG71" s="222"/>
      <c r="AH71" s="222"/>
      <c r="AI71" s="222"/>
      <c r="AJ71" s="191"/>
      <c r="AK71" s="78"/>
    </row>
    <row r="72" spans="2:37" x14ac:dyDescent="0.2">
      <c r="B72" s="86"/>
      <c r="C72" s="83"/>
      <c r="D72" s="135"/>
      <c r="E72" s="135"/>
      <c r="F72" s="84"/>
      <c r="G72" s="84"/>
      <c r="H72" s="84"/>
      <c r="I72" s="84"/>
      <c r="J72" s="83"/>
      <c r="K72" s="83"/>
      <c r="L72" s="83"/>
      <c r="M72" s="83"/>
      <c r="N72" s="83"/>
      <c r="O72" s="83"/>
      <c r="P72" s="83"/>
      <c r="Q72" s="83"/>
      <c r="R72" s="83"/>
      <c r="S72" s="83"/>
      <c r="T72" s="83"/>
      <c r="U72" s="83"/>
      <c r="V72" s="83"/>
      <c r="W72" s="83"/>
      <c r="X72" s="83"/>
      <c r="Y72" s="83"/>
      <c r="Z72" s="1507"/>
      <c r="AA72" s="1502"/>
      <c r="AB72" s="83"/>
      <c r="AC72" s="83"/>
      <c r="AD72" s="83"/>
      <c r="AE72" s="83"/>
      <c r="AF72" s="83"/>
      <c r="AG72" s="83"/>
      <c r="AH72" s="83"/>
      <c r="AI72" s="83"/>
      <c r="AJ72" s="83"/>
      <c r="AK72" s="85"/>
    </row>
  </sheetData>
  <sheetProtection algorithmName="SHA-512" hashValue="dGriA8MgxrW4VcCnmeDXW4mdQQd0bGhztkUCES/LUNG1oCZpeVNXCKN19EMuDe2u7OZrOuWODW4J8pmn/ViQmg==" saltValue="G/zIStKyGWLeNPYADIgwcg==" spinCount="100000" sheet="1" objects="1" scenarios="1"/>
  <phoneticPr fontId="0" type="noConversion"/>
  <dataValidations count="3">
    <dataValidation type="list" allowBlank="1" showInputMessage="1" showErrorMessage="1" sqref="D70:H70 I14:I71">
      <formula1>"geen,1,2,3,4,5,6,7,8,9,10,11,12,13,14,15,16,17,18,19,20,21,22,23,24,25,26,27,28,29,30,31,32,33,34,35,36,37,38,39,40,41,42,43,44,45,46,47,48,49,50"</formula1>
    </dataValidation>
    <dataValidation type="list" allowBlank="1" showInputMessage="1" showErrorMessage="1" sqref="D71">
      <formula1>"gebouwen en terreinen, inventaris en apparatuur, leermiddelen PO, overige materiële vaste activa"</formula1>
    </dataValidation>
    <dataValidation type="list" allowBlank="1" showInputMessage="1" showErrorMessage="1" sqref="D14:D69">
      <formula1>"gebouwen en terreinen, inventaris en apparatuur, leermiddelen, overige materiële vaste activa"</formula1>
    </dataValidation>
  </dataValidations>
  <pageMargins left="0.75" right="0.75" top="1" bottom="1" header="0.5" footer="0.5"/>
  <pageSetup paperSize="9" scale="50" orientation="landscape" r:id="rId1"/>
  <headerFooter alignWithMargins="0">
    <oddHeader>&amp;L&amp;"Arial,Vet"&amp;9&amp;F&amp;R&amp;"Arial,Vet"&amp;9&amp;A</oddHeader>
    <oddFooter>&amp;L&amp;"Arial,Vet"&amp;9be.keizer@wxs.nl&amp;C&amp;"Arial,Vet"&amp;9pagina &amp;P&amp;R&amp;"Arial,Vet"&amp;9&amp;D</oddFooter>
  </headerFooter>
  <colBreaks count="1" manualBreakCount="1">
    <brk id="26" min="1" max="71"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46"/>
  <sheetViews>
    <sheetView showGridLines="0" zoomScale="85" zoomScaleNormal="85" workbookViewId="0">
      <selection activeCell="B2" sqref="B2"/>
    </sheetView>
  </sheetViews>
  <sheetFormatPr defaultRowHeight="12.75" x14ac:dyDescent="0.2"/>
  <cols>
    <col min="1" max="1" width="3.7109375" style="110" customWidth="1"/>
    <col min="2" max="2" width="2.7109375" style="110" customWidth="1"/>
    <col min="3" max="3" width="2.5703125" style="110" customWidth="1"/>
    <col min="4" max="4" width="33.28515625" style="110" customWidth="1"/>
    <col min="5" max="5" width="2.7109375" style="110" customWidth="1"/>
    <col min="6" max="14" width="15.7109375" style="110" customWidth="1"/>
    <col min="15" max="16" width="2.7109375" style="110" customWidth="1"/>
    <col min="17" max="17" width="5.7109375" style="110" customWidth="1"/>
    <col min="18" max="18" width="2.7109375" style="110" customWidth="1"/>
    <col min="19" max="19" width="12.7109375" style="437" customWidth="1"/>
    <col min="20" max="21" width="12.7109375" style="438" customWidth="1"/>
    <col min="22" max="23" width="10.7109375" style="438" customWidth="1"/>
    <col min="24" max="24" width="2.7109375" style="110" customWidth="1"/>
    <col min="25" max="16384" width="9.140625" style="110"/>
  </cols>
  <sheetData>
    <row r="2" spans="2:25" x14ac:dyDescent="0.2">
      <c r="B2" s="72"/>
      <c r="C2" s="73"/>
      <c r="D2" s="73"/>
      <c r="E2" s="73"/>
      <c r="F2" s="73"/>
      <c r="G2" s="73"/>
      <c r="H2" s="73"/>
      <c r="I2" s="73"/>
      <c r="J2" s="73"/>
      <c r="K2" s="73"/>
      <c r="L2" s="73"/>
      <c r="M2" s="73"/>
      <c r="N2" s="73"/>
      <c r="O2" s="73"/>
      <c r="P2" s="75"/>
    </row>
    <row r="3" spans="2:25" x14ac:dyDescent="0.2">
      <c r="B3" s="76"/>
      <c r="C3" s="77"/>
      <c r="D3" s="77"/>
      <c r="E3" s="77"/>
      <c r="F3" s="77"/>
      <c r="G3" s="77"/>
      <c r="H3" s="77"/>
      <c r="I3" s="77"/>
      <c r="J3" s="77"/>
      <c r="K3" s="77"/>
      <c r="L3" s="77"/>
      <c r="M3" s="77"/>
      <c r="N3" s="77"/>
      <c r="O3" s="77"/>
      <c r="P3" s="78"/>
    </row>
    <row r="4" spans="2:25" s="168" customFormat="1" ht="18" customHeight="1" x14ac:dyDescent="0.3">
      <c r="B4" s="421"/>
      <c r="C4" s="620" t="s">
        <v>69</v>
      </c>
      <c r="D4" s="176"/>
      <c r="E4" s="177"/>
      <c r="F4" s="177"/>
      <c r="G4" s="177"/>
      <c r="H4" s="177"/>
      <c r="I4" s="177"/>
      <c r="J4" s="177"/>
      <c r="K4" s="177"/>
      <c r="L4" s="177"/>
      <c r="M4" s="177"/>
      <c r="N4" s="177"/>
      <c r="O4" s="177"/>
      <c r="P4" s="179"/>
    </row>
    <row r="5" spans="2:25" s="439" customFormat="1" ht="18" customHeight="1" x14ac:dyDescent="0.3">
      <c r="B5" s="442"/>
      <c r="C5" s="443" t="str">
        <f>'geg LO'!C5</f>
        <v xml:space="preserve">SWV VO </v>
      </c>
      <c r="D5" s="444"/>
      <c r="E5" s="48"/>
      <c r="F5" s="48"/>
      <c r="G5" s="48"/>
      <c r="H5" s="48"/>
      <c r="I5" s="48"/>
      <c r="J5" s="48"/>
      <c r="K5" s="48"/>
      <c r="L5" s="48"/>
      <c r="M5" s="48"/>
      <c r="N5" s="48"/>
      <c r="O5" s="48"/>
      <c r="P5" s="49"/>
    </row>
    <row r="6" spans="2:25" s="212" customFormat="1" x14ac:dyDescent="0.2">
      <c r="B6" s="215"/>
      <c r="C6" s="216"/>
      <c r="D6" s="216"/>
      <c r="E6" s="216"/>
      <c r="F6" s="216"/>
      <c r="G6" s="216"/>
      <c r="H6" s="216"/>
      <c r="I6" s="216"/>
      <c r="J6" s="216"/>
      <c r="K6" s="216"/>
      <c r="L6" s="216"/>
      <c r="M6" s="216"/>
      <c r="N6" s="216"/>
      <c r="O6" s="216"/>
      <c r="P6" s="217"/>
      <c r="S6" s="440"/>
    </row>
    <row r="7" spans="2:25" s="212" customFormat="1" x14ac:dyDescent="0.2">
      <c r="B7" s="215"/>
      <c r="C7" s="216"/>
      <c r="D7" s="216"/>
      <c r="E7" s="216"/>
      <c r="F7" s="216"/>
      <c r="G7" s="216"/>
      <c r="H7" s="445"/>
      <c r="I7" s="216"/>
      <c r="J7" s="216"/>
      <c r="K7" s="216"/>
      <c r="L7" s="216"/>
      <c r="M7" s="216"/>
      <c r="N7" s="216"/>
      <c r="O7" s="216"/>
      <c r="P7" s="217"/>
      <c r="S7" s="440"/>
    </row>
    <row r="8" spans="2:25" s="212" customFormat="1" x14ac:dyDescent="0.2">
      <c r="B8" s="215"/>
      <c r="C8" s="216"/>
      <c r="D8" s="216"/>
      <c r="E8" s="216"/>
      <c r="F8" s="616">
        <f>mip!Q8</f>
        <v>2015</v>
      </c>
      <c r="G8" s="597">
        <f>mip!R8</f>
        <v>2016</v>
      </c>
      <c r="H8" s="597">
        <f>mip!S8</f>
        <v>2017</v>
      </c>
      <c r="I8" s="597">
        <f>mip!T8</f>
        <v>2018</v>
      </c>
      <c r="J8" s="597">
        <f>mip!U8</f>
        <v>2019</v>
      </c>
      <c r="K8" s="597">
        <f>mip!V8</f>
        <v>2020</v>
      </c>
      <c r="L8" s="597">
        <f>mip!W8</f>
        <v>2021</v>
      </c>
      <c r="M8" s="597">
        <f>mip!X8</f>
        <v>2022</v>
      </c>
      <c r="N8" s="597">
        <f>mip!Y8</f>
        <v>2023</v>
      </c>
      <c r="O8" s="216"/>
      <c r="P8" s="217"/>
      <c r="S8" s="440"/>
    </row>
    <row r="9" spans="2:25" x14ac:dyDescent="0.2">
      <c r="B9" s="76"/>
      <c r="C9" s="77"/>
      <c r="D9" s="77"/>
      <c r="E9" s="77"/>
      <c r="F9" s="77"/>
      <c r="G9" s="77"/>
      <c r="H9" s="77"/>
      <c r="I9" s="77"/>
      <c r="J9" s="77"/>
      <c r="K9" s="77"/>
      <c r="L9" s="77"/>
      <c r="M9" s="77"/>
      <c r="N9" s="77"/>
      <c r="O9" s="77"/>
      <c r="P9" s="78"/>
    </row>
    <row r="10" spans="2:25" x14ac:dyDescent="0.2">
      <c r="B10" s="76"/>
      <c r="C10" s="191"/>
      <c r="D10" s="191"/>
      <c r="E10" s="191"/>
      <c r="F10" s="191"/>
      <c r="G10" s="191"/>
      <c r="H10" s="191"/>
      <c r="I10" s="191"/>
      <c r="J10" s="191"/>
      <c r="K10" s="191"/>
      <c r="L10" s="191"/>
      <c r="M10" s="191"/>
      <c r="N10" s="191"/>
      <c r="O10" s="191"/>
      <c r="P10" s="78"/>
      <c r="T10" s="437"/>
      <c r="U10" s="437"/>
      <c r="V10" s="437"/>
      <c r="X10" s="437"/>
      <c r="Y10" s="437"/>
    </row>
    <row r="11" spans="2:25" x14ac:dyDescent="0.2">
      <c r="B11" s="76"/>
      <c r="C11" s="191"/>
      <c r="D11" s="446" t="s">
        <v>950</v>
      </c>
      <c r="E11" s="191"/>
      <c r="F11" s="191"/>
      <c r="G11" s="191"/>
      <c r="H11" s="191"/>
      <c r="I11" s="191"/>
      <c r="J11" s="191"/>
      <c r="K11" s="191"/>
      <c r="L11" s="191"/>
      <c r="M11" s="191"/>
      <c r="N11" s="191"/>
      <c r="O11" s="191"/>
      <c r="P11" s="78"/>
      <c r="T11" s="437"/>
      <c r="U11" s="437"/>
      <c r="V11" s="437"/>
      <c r="X11" s="437"/>
      <c r="Y11" s="437"/>
    </row>
    <row r="12" spans="2:25" x14ac:dyDescent="0.2">
      <c r="B12" s="76"/>
      <c r="C12" s="191"/>
      <c r="D12" s="50" t="s">
        <v>125</v>
      </c>
      <c r="E12" s="191"/>
      <c r="F12" s="543">
        <v>0</v>
      </c>
      <c r="G12" s="548">
        <f>+F39</f>
        <v>0</v>
      </c>
      <c r="H12" s="548">
        <f t="shared" ref="H12:J15" si="0">G39</f>
        <v>0</v>
      </c>
      <c r="I12" s="548">
        <f t="shared" si="0"/>
        <v>0</v>
      </c>
      <c r="J12" s="548">
        <f t="shared" si="0"/>
        <v>0</v>
      </c>
      <c r="K12" s="548">
        <f t="shared" ref="K12:N15" si="1">J39</f>
        <v>0</v>
      </c>
      <c r="L12" s="548">
        <f t="shared" si="1"/>
        <v>0</v>
      </c>
      <c r="M12" s="548">
        <f t="shared" si="1"/>
        <v>0</v>
      </c>
      <c r="N12" s="548">
        <f t="shared" si="1"/>
        <v>0</v>
      </c>
      <c r="O12" s="191"/>
      <c r="P12" s="78"/>
      <c r="T12" s="437"/>
      <c r="U12" s="437"/>
      <c r="V12" s="437"/>
      <c r="X12" s="437"/>
      <c r="Y12" s="437"/>
    </row>
    <row r="13" spans="2:25" x14ac:dyDescent="0.2">
      <c r="B13" s="76"/>
      <c r="C13" s="191"/>
      <c r="D13" s="50" t="s">
        <v>127</v>
      </c>
      <c r="E13" s="191"/>
      <c r="F13" s="543">
        <v>0</v>
      </c>
      <c r="G13" s="548">
        <f>F40</f>
        <v>0</v>
      </c>
      <c r="H13" s="548">
        <f t="shared" si="0"/>
        <v>0</v>
      </c>
      <c r="I13" s="548">
        <f t="shared" si="0"/>
        <v>0</v>
      </c>
      <c r="J13" s="548">
        <f t="shared" si="0"/>
        <v>0</v>
      </c>
      <c r="K13" s="548">
        <f t="shared" si="1"/>
        <v>0</v>
      </c>
      <c r="L13" s="548">
        <f t="shared" si="1"/>
        <v>0</v>
      </c>
      <c r="M13" s="548">
        <f t="shared" si="1"/>
        <v>0</v>
      </c>
      <c r="N13" s="548">
        <f t="shared" si="1"/>
        <v>0</v>
      </c>
      <c r="O13" s="191"/>
      <c r="P13" s="78"/>
      <c r="T13" s="437"/>
      <c r="U13" s="437"/>
      <c r="V13" s="437"/>
      <c r="X13" s="437"/>
      <c r="Y13" s="437"/>
    </row>
    <row r="14" spans="2:25" x14ac:dyDescent="0.2">
      <c r="B14" s="76"/>
      <c r="C14" s="191"/>
      <c r="D14" s="50" t="s">
        <v>121</v>
      </c>
      <c r="E14" s="191"/>
      <c r="F14" s="543">
        <v>0</v>
      </c>
      <c r="G14" s="548">
        <f>F41</f>
        <v>0</v>
      </c>
      <c r="H14" s="548">
        <f t="shared" si="0"/>
        <v>0</v>
      </c>
      <c r="I14" s="548">
        <f t="shared" si="0"/>
        <v>0</v>
      </c>
      <c r="J14" s="548">
        <f t="shared" si="0"/>
        <v>0</v>
      </c>
      <c r="K14" s="548">
        <f t="shared" si="1"/>
        <v>0</v>
      </c>
      <c r="L14" s="548">
        <f t="shared" si="1"/>
        <v>0</v>
      </c>
      <c r="M14" s="548">
        <f t="shared" si="1"/>
        <v>0</v>
      </c>
      <c r="N14" s="548">
        <f t="shared" si="1"/>
        <v>0</v>
      </c>
      <c r="O14" s="191"/>
      <c r="P14" s="78"/>
      <c r="T14" s="437"/>
      <c r="U14" s="437"/>
      <c r="V14" s="437"/>
      <c r="X14" s="437"/>
      <c r="Y14" s="437"/>
    </row>
    <row r="15" spans="2:25" x14ac:dyDescent="0.2">
      <c r="B15" s="76"/>
      <c r="C15" s="191"/>
      <c r="D15" s="50" t="s">
        <v>128</v>
      </c>
      <c r="E15" s="191"/>
      <c r="F15" s="543">
        <v>0</v>
      </c>
      <c r="G15" s="548">
        <f>F42</f>
        <v>0</v>
      </c>
      <c r="H15" s="548">
        <f t="shared" si="0"/>
        <v>0</v>
      </c>
      <c r="I15" s="548">
        <f t="shared" si="0"/>
        <v>0</v>
      </c>
      <c r="J15" s="548">
        <f t="shared" si="0"/>
        <v>0</v>
      </c>
      <c r="K15" s="548">
        <f t="shared" si="1"/>
        <v>0</v>
      </c>
      <c r="L15" s="548">
        <f t="shared" si="1"/>
        <v>0</v>
      </c>
      <c r="M15" s="548">
        <f t="shared" si="1"/>
        <v>0</v>
      </c>
      <c r="N15" s="548">
        <f t="shared" si="1"/>
        <v>0</v>
      </c>
      <c r="O15" s="191"/>
      <c r="P15" s="78"/>
      <c r="T15" s="437"/>
      <c r="U15" s="437"/>
      <c r="V15" s="437"/>
      <c r="X15" s="437"/>
      <c r="Y15" s="437"/>
    </row>
    <row r="16" spans="2:25" x14ac:dyDescent="0.2">
      <c r="B16" s="76"/>
      <c r="C16" s="191"/>
      <c r="D16" s="447"/>
      <c r="E16" s="191"/>
      <c r="F16" s="563">
        <f t="shared" ref="F16:N16" si="2">SUM(F12:F15)</f>
        <v>0</v>
      </c>
      <c r="G16" s="563">
        <f t="shared" si="2"/>
        <v>0</v>
      </c>
      <c r="H16" s="563">
        <f t="shared" si="2"/>
        <v>0</v>
      </c>
      <c r="I16" s="563">
        <f t="shared" si="2"/>
        <v>0</v>
      </c>
      <c r="J16" s="563">
        <f t="shared" si="2"/>
        <v>0</v>
      </c>
      <c r="K16" s="563">
        <f t="shared" si="2"/>
        <v>0</v>
      </c>
      <c r="L16" s="563">
        <f t="shared" si="2"/>
        <v>0</v>
      </c>
      <c r="M16" s="563">
        <f t="shared" si="2"/>
        <v>0</v>
      </c>
      <c r="N16" s="563">
        <f t="shared" si="2"/>
        <v>0</v>
      </c>
      <c r="O16" s="191"/>
      <c r="P16" s="78"/>
      <c r="S16" s="438"/>
      <c r="X16" s="438"/>
      <c r="Y16" s="438"/>
    </row>
    <row r="17" spans="2:25" x14ac:dyDescent="0.2">
      <c r="B17" s="76"/>
      <c r="C17" s="191"/>
      <c r="D17" s="93"/>
      <c r="E17" s="191"/>
      <c r="F17" s="191"/>
      <c r="G17" s="191"/>
      <c r="H17" s="191"/>
      <c r="I17" s="191"/>
      <c r="J17" s="191"/>
      <c r="K17" s="191"/>
      <c r="L17" s="191"/>
      <c r="M17" s="191"/>
      <c r="N17" s="191"/>
      <c r="O17" s="191"/>
      <c r="P17" s="78"/>
      <c r="T17" s="437"/>
      <c r="U17" s="437"/>
      <c r="V17" s="437"/>
      <c r="X17" s="437"/>
      <c r="Y17" s="437"/>
    </row>
    <row r="18" spans="2:25" x14ac:dyDescent="0.2">
      <c r="B18" s="76"/>
      <c r="C18" s="77"/>
      <c r="D18" s="77"/>
      <c r="E18" s="77"/>
      <c r="F18" s="77"/>
      <c r="G18" s="77"/>
      <c r="H18" s="77"/>
      <c r="I18" s="77"/>
      <c r="J18" s="77"/>
      <c r="K18" s="77"/>
      <c r="L18" s="77"/>
      <c r="M18" s="77"/>
      <c r="N18" s="77"/>
      <c r="O18" s="77"/>
      <c r="P18" s="78"/>
      <c r="T18" s="437"/>
      <c r="U18" s="437"/>
      <c r="V18" s="437"/>
      <c r="X18" s="437"/>
      <c r="Y18" s="437"/>
    </row>
    <row r="19" spans="2:25" x14ac:dyDescent="0.2">
      <c r="B19" s="76"/>
      <c r="C19" s="191"/>
      <c r="D19" s="191"/>
      <c r="E19" s="191"/>
      <c r="F19" s="191"/>
      <c r="G19" s="191"/>
      <c r="H19" s="191"/>
      <c r="I19" s="191"/>
      <c r="J19" s="191"/>
      <c r="K19" s="191"/>
      <c r="L19" s="191"/>
      <c r="M19" s="191"/>
      <c r="N19" s="191"/>
      <c r="O19" s="191"/>
      <c r="P19" s="78"/>
      <c r="T19" s="437"/>
      <c r="U19" s="437"/>
      <c r="V19" s="437"/>
      <c r="X19" s="437"/>
      <c r="Y19" s="437"/>
    </row>
    <row r="20" spans="2:25" x14ac:dyDescent="0.2">
      <c r="B20" s="76"/>
      <c r="C20" s="191"/>
      <c r="D20" s="618" t="s">
        <v>181</v>
      </c>
      <c r="E20" s="191"/>
      <c r="F20" s="191"/>
      <c r="G20" s="191"/>
      <c r="H20" s="191"/>
      <c r="I20" s="191"/>
      <c r="J20" s="191"/>
      <c r="K20" s="191"/>
      <c r="L20" s="191"/>
      <c r="M20" s="191"/>
      <c r="N20" s="191"/>
      <c r="O20" s="191"/>
      <c r="P20" s="78"/>
      <c r="T20" s="437"/>
      <c r="U20" s="437"/>
      <c r="V20" s="437"/>
      <c r="X20" s="437"/>
      <c r="Y20" s="437"/>
    </row>
    <row r="21" spans="2:25" x14ac:dyDescent="0.2">
      <c r="B21" s="76"/>
      <c r="C21" s="191"/>
      <c r="D21" s="50" t="s">
        <v>125</v>
      </c>
      <c r="E21" s="191"/>
      <c r="F21" s="548">
        <f>SUMIF(mip!$D$14:$D$70,"gebouwen en terreinen",mip!AA$14:AA$70)</f>
        <v>0</v>
      </c>
      <c r="G21" s="548">
        <f>SUMIF(mip!$D$14:$D$70,"gebouwen en terreinen",mip!AB$14:AB$70)</f>
        <v>0</v>
      </c>
      <c r="H21" s="548">
        <f>SUMIF(mip!$D$14:$D$70,"gebouwen en terreinen",mip!AC$14:AC$70)</f>
        <v>0</v>
      </c>
      <c r="I21" s="548">
        <f>SUMIF(mip!$D$14:$D$70,"gebouwen en terreinen",mip!AD$14:AD$70)</f>
        <v>0</v>
      </c>
      <c r="J21" s="548">
        <f>SUMIF(mip!$D$14:$D$70,"gebouwen en terreinen",mip!AE$14:AE$70)</f>
        <v>0</v>
      </c>
      <c r="K21" s="548">
        <f>SUMIF(mip!$D$14:$D$70,"gebouwen en terreinen",mip!AF$14:AF$70)</f>
        <v>0</v>
      </c>
      <c r="L21" s="548">
        <f>SUMIF(mip!$D$14:$D$70,"gebouwen en terreinen",mip!AG$14:AG$70)</f>
        <v>0</v>
      </c>
      <c r="M21" s="548">
        <f>SUMIF(mip!$D$14:$D$70,"gebouwen en terreinen",mip!AH$14:AH$70)</f>
        <v>0</v>
      </c>
      <c r="N21" s="548">
        <f>SUMIF(mip!$D$14:$D$70,"gebouwen en terreinen",mip!AI$14:AI$70)</f>
        <v>0</v>
      </c>
      <c r="O21" s="191"/>
      <c r="P21" s="78"/>
      <c r="T21" s="437"/>
      <c r="U21" s="437"/>
      <c r="V21" s="437"/>
      <c r="X21" s="437"/>
      <c r="Y21" s="437"/>
    </row>
    <row r="22" spans="2:25" x14ac:dyDescent="0.2">
      <c r="B22" s="76"/>
      <c r="C22" s="191"/>
      <c r="D22" s="50" t="s">
        <v>127</v>
      </c>
      <c r="E22" s="191"/>
      <c r="F22" s="548">
        <f>SUMIF(mip!$D$14:$D$70,"inventaris en apparatuur",mip!AA$14:AA$70)</f>
        <v>0</v>
      </c>
      <c r="G22" s="548">
        <f>SUMIF(mip!$D$14:$D$70,"inventaris en apparatuur",mip!AB$14:AB$70)</f>
        <v>0</v>
      </c>
      <c r="H22" s="548">
        <f>SUMIF(mip!$D$14:$D$70,"inventaris en apparatuur",mip!AC$14:AC$70)</f>
        <v>0</v>
      </c>
      <c r="I22" s="548">
        <f>SUMIF(mip!$D$14:$D$70,"inventaris en apparatuur",mip!AD$14:AD$70)</f>
        <v>0</v>
      </c>
      <c r="J22" s="548">
        <f>SUMIF(mip!$D$14:$D$70,"inventaris en apparatuur",mip!AE$14:AE$70)</f>
        <v>0</v>
      </c>
      <c r="K22" s="548">
        <f>SUMIF(mip!$D$14:$D$70,"inventaris en apparatuur",mip!AF$14:AF$70)</f>
        <v>0</v>
      </c>
      <c r="L22" s="548">
        <f>SUMIF(mip!$D$14:$D$70,"inventaris en apparatuur",mip!AG$14:AG$70)</f>
        <v>0</v>
      </c>
      <c r="M22" s="548">
        <f>SUMIF(mip!$D$14:$D$70,"inventaris en apparatuur",mip!AH$14:AH$70)</f>
        <v>0</v>
      </c>
      <c r="N22" s="548">
        <f>SUMIF(mip!$D$14:$D$70,"inventaris en apparatuur",mip!AI$14:AI$70)</f>
        <v>0</v>
      </c>
      <c r="O22" s="191"/>
      <c r="P22" s="78"/>
      <c r="T22" s="437"/>
      <c r="U22" s="437"/>
      <c r="V22" s="437"/>
      <c r="X22" s="437"/>
      <c r="Y22" s="437"/>
    </row>
    <row r="23" spans="2:25" x14ac:dyDescent="0.2">
      <c r="B23" s="76"/>
      <c r="C23" s="191"/>
      <c r="D23" s="50" t="s">
        <v>121</v>
      </c>
      <c r="E23" s="191"/>
      <c r="F23" s="548">
        <f>SUMIF(mip!$D$14:$D$70,"leermiddelen",mip!AA$14:AA$70)</f>
        <v>0</v>
      </c>
      <c r="G23" s="548">
        <f>SUMIF(mip!$D$14:$D$70,"leermiddelen",mip!AB$14:AB$70)</f>
        <v>0</v>
      </c>
      <c r="H23" s="548">
        <f>SUMIF(mip!$D$14:$D$70,"leermiddelen",mip!AC$14:AC$70)</f>
        <v>0</v>
      </c>
      <c r="I23" s="548">
        <f>SUMIF(mip!$D$14:$D$70,"leermiddelen",mip!AD$14:AD$70)</f>
        <v>0</v>
      </c>
      <c r="J23" s="548">
        <f>SUMIF(mip!$D$14:$D$70,"leermiddelen",mip!AE$14:AE$70)</f>
        <v>0</v>
      </c>
      <c r="K23" s="548">
        <f>SUMIF(mip!$D$14:$D$70,"leermiddelen",mip!AF$14:AF$70)</f>
        <v>0</v>
      </c>
      <c r="L23" s="548">
        <f>SUMIF(mip!$D$14:$D$70,"leermiddelen",mip!AG$14:AG$70)</f>
        <v>0</v>
      </c>
      <c r="M23" s="548">
        <f>SUMIF(mip!$D$14:$D$70,"leermiddelen",mip!AH$14:AH$70)</f>
        <v>0</v>
      </c>
      <c r="N23" s="548">
        <f>SUMIF(mip!$D$14:$D$70,"leermiddelen",mip!AI$14:AI$70)</f>
        <v>0</v>
      </c>
      <c r="O23" s="191"/>
      <c r="P23" s="78"/>
      <c r="T23" s="437"/>
      <c r="U23" s="437"/>
      <c r="V23" s="437"/>
      <c r="X23" s="437"/>
      <c r="Y23" s="437"/>
    </row>
    <row r="24" spans="2:25" x14ac:dyDescent="0.2">
      <c r="B24" s="76"/>
      <c r="C24" s="191"/>
      <c r="D24" s="50" t="s">
        <v>128</v>
      </c>
      <c r="E24" s="191"/>
      <c r="F24" s="548">
        <f>SUMIF(mip!$D$14:$D$70,"overige materiële vaste activa",mip!AA$14:AA$70)</f>
        <v>0</v>
      </c>
      <c r="G24" s="548">
        <f>SUMIF(mip!$D$14:$D$70,"overige materiële vaste activa",mip!AB$14:AB$70)</f>
        <v>0</v>
      </c>
      <c r="H24" s="548">
        <f>SUMIF(mip!$D$14:$D$70,"overige materiële vaste activa",mip!AC$14:AC$70)</f>
        <v>0</v>
      </c>
      <c r="I24" s="548">
        <f>SUMIF(mip!$D$14:$D$70,"overige materiële vaste activa",mip!AD$14:AD$70)</f>
        <v>0</v>
      </c>
      <c r="J24" s="548">
        <f>SUMIF(mip!$D$14:$D$70,"overige materiële vaste activa",mip!AE$14:AE$70)</f>
        <v>0</v>
      </c>
      <c r="K24" s="548">
        <f>SUMIF(mip!$D$14:$D$70,"overige materiële vaste activa",mip!AF$14:AF$70)</f>
        <v>0</v>
      </c>
      <c r="L24" s="548">
        <f>SUMIF(mip!$D$14:$D$70,"overige materiële vaste activa",mip!AG$14:AG$70)</f>
        <v>0</v>
      </c>
      <c r="M24" s="548">
        <f>SUMIF(mip!$D$14:$D$70,"overige materiële vaste activa",mip!AH$14:AH$70)</f>
        <v>0</v>
      </c>
      <c r="N24" s="548">
        <f>SUMIF(mip!$D$14:$D$70,"overige materiële vaste activa",mip!AI$14:AI$70)</f>
        <v>0</v>
      </c>
      <c r="O24" s="191"/>
      <c r="P24" s="78"/>
      <c r="T24" s="437"/>
      <c r="U24" s="437"/>
      <c r="V24" s="437"/>
      <c r="X24" s="437"/>
      <c r="Y24" s="437"/>
    </row>
    <row r="25" spans="2:25" x14ac:dyDescent="0.2">
      <c r="B25" s="76"/>
      <c r="C25" s="191"/>
      <c r="D25" s="447"/>
      <c r="E25" s="191"/>
      <c r="F25" s="563">
        <f t="shared" ref="F25:N25" si="3">SUM(F21:F24)</f>
        <v>0</v>
      </c>
      <c r="G25" s="563">
        <f t="shared" si="3"/>
        <v>0</v>
      </c>
      <c r="H25" s="563">
        <f t="shared" si="3"/>
        <v>0</v>
      </c>
      <c r="I25" s="563">
        <f t="shared" si="3"/>
        <v>0</v>
      </c>
      <c r="J25" s="563">
        <f t="shared" si="3"/>
        <v>0</v>
      </c>
      <c r="K25" s="563">
        <f t="shared" si="3"/>
        <v>0</v>
      </c>
      <c r="L25" s="563">
        <f t="shared" si="3"/>
        <v>0</v>
      </c>
      <c r="M25" s="563">
        <f t="shared" si="3"/>
        <v>0</v>
      </c>
      <c r="N25" s="563">
        <f t="shared" si="3"/>
        <v>0</v>
      </c>
      <c r="O25" s="191"/>
      <c r="P25" s="78"/>
      <c r="S25" s="438"/>
      <c r="X25" s="438"/>
      <c r="Y25" s="438"/>
    </row>
    <row r="26" spans="2:25" x14ac:dyDescent="0.2">
      <c r="B26" s="76"/>
      <c r="C26" s="191"/>
      <c r="D26" s="93"/>
      <c r="E26" s="191"/>
      <c r="F26" s="191"/>
      <c r="G26" s="191"/>
      <c r="H26" s="191"/>
      <c r="I26" s="191"/>
      <c r="J26" s="191"/>
      <c r="K26" s="191"/>
      <c r="L26" s="191"/>
      <c r="M26" s="191"/>
      <c r="N26" s="191"/>
      <c r="O26" s="191"/>
      <c r="P26" s="78"/>
      <c r="T26" s="437"/>
      <c r="U26" s="437"/>
      <c r="V26" s="437"/>
      <c r="X26" s="437"/>
      <c r="Y26" s="437"/>
    </row>
    <row r="27" spans="2:25" x14ac:dyDescent="0.2">
      <c r="B27" s="76"/>
      <c r="C27" s="77"/>
      <c r="D27" s="77"/>
      <c r="E27" s="77"/>
      <c r="F27" s="77"/>
      <c r="G27" s="77"/>
      <c r="H27" s="77"/>
      <c r="I27" s="77"/>
      <c r="J27" s="77"/>
      <c r="K27" s="77"/>
      <c r="L27" s="77"/>
      <c r="M27" s="77"/>
      <c r="N27" s="77"/>
      <c r="O27" s="77"/>
      <c r="P27" s="78"/>
      <c r="T27" s="437"/>
      <c r="U27" s="437"/>
      <c r="V27" s="437"/>
      <c r="X27" s="437"/>
      <c r="Y27" s="437"/>
    </row>
    <row r="28" spans="2:25" x14ac:dyDescent="0.2">
      <c r="B28" s="76"/>
      <c r="C28" s="191"/>
      <c r="D28" s="191"/>
      <c r="E28" s="191"/>
      <c r="F28" s="221"/>
      <c r="G28" s="221"/>
      <c r="H28" s="221"/>
      <c r="I28" s="221"/>
      <c r="J28" s="221"/>
      <c r="K28" s="221"/>
      <c r="L28" s="221"/>
      <c r="M28" s="221"/>
      <c r="N28" s="221"/>
      <c r="O28" s="191"/>
      <c r="P28" s="78"/>
      <c r="T28" s="437"/>
      <c r="U28" s="437"/>
      <c r="V28" s="437"/>
      <c r="X28" s="437"/>
      <c r="Y28" s="437"/>
    </row>
    <row r="29" spans="2:25" x14ac:dyDescent="0.2">
      <c r="B29" s="76"/>
      <c r="C29" s="191"/>
      <c r="D29" s="618" t="s">
        <v>119</v>
      </c>
      <c r="E29" s="191"/>
      <c r="F29" s="221"/>
      <c r="G29" s="221"/>
      <c r="H29" s="221"/>
      <c r="I29" s="221"/>
      <c r="J29" s="221"/>
      <c r="K29" s="221"/>
      <c r="L29" s="221"/>
      <c r="M29" s="221"/>
      <c r="N29" s="221"/>
      <c r="O29" s="191"/>
      <c r="P29" s="78"/>
      <c r="T29" s="437"/>
      <c r="U29" s="437"/>
      <c r="V29" s="437"/>
      <c r="X29" s="437"/>
      <c r="Y29" s="437"/>
    </row>
    <row r="30" spans="2:25" x14ac:dyDescent="0.2">
      <c r="B30" s="76"/>
      <c r="C30" s="191"/>
      <c r="D30" s="50" t="s">
        <v>125</v>
      </c>
      <c r="E30" s="191"/>
      <c r="F30" s="548">
        <f>SUMIF(mip!$D$14:$D$70,"gebouwen en terreinen",mip!Q$14:Q$70)</f>
        <v>0</v>
      </c>
      <c r="G30" s="548">
        <f>SUMIF(mip!$D$14:$D$70,"gebouwen en terreinen",mip!R$14:R$70)</f>
        <v>0</v>
      </c>
      <c r="H30" s="548">
        <f>SUMIF(mip!$D$14:$D$70,"gebouwen en terreinen",mip!S$14:S$70)</f>
        <v>0</v>
      </c>
      <c r="I30" s="548">
        <f>SUMIF(mip!$D$14:$D$70,"gebouwen en terreinen",mip!T$14:T$70)</f>
        <v>0</v>
      </c>
      <c r="J30" s="548">
        <f>SUMIF(mip!$D$14:$D$70,"gebouwen en terreinen",mip!U$14:U$70)</f>
        <v>0</v>
      </c>
      <c r="K30" s="548">
        <f>SUMIF(mip!$D$14:$D$70,"gebouwen en terreinen",mip!V$14:V$70)</f>
        <v>0</v>
      </c>
      <c r="L30" s="548">
        <f>SUMIF(mip!$D$14:$D$70,"gebouwen en terreinen",mip!W$14:W$70)</f>
        <v>0</v>
      </c>
      <c r="M30" s="548">
        <f>SUMIF(mip!$D$14:$D$70,"gebouwen en terreinen",mip!X$14:X$70)</f>
        <v>0</v>
      </c>
      <c r="N30" s="548">
        <f>SUMIF(mip!$D$14:$D$70,"gebouwen en terreinen",mip!Y$14:Y$70)</f>
        <v>0</v>
      </c>
      <c r="O30" s="191"/>
      <c r="P30" s="78"/>
      <c r="T30" s="437"/>
      <c r="U30" s="437"/>
      <c r="V30" s="437"/>
      <c r="X30" s="437"/>
      <c r="Y30" s="437"/>
    </row>
    <row r="31" spans="2:25" x14ac:dyDescent="0.2">
      <c r="B31" s="76"/>
      <c r="C31" s="191"/>
      <c r="D31" s="50" t="s">
        <v>127</v>
      </c>
      <c r="E31" s="191"/>
      <c r="F31" s="548">
        <f>SUMIF(mip!$D$14:$D$70,"inventaris en apparatuur",mip!Q$14:Q$70)</f>
        <v>0</v>
      </c>
      <c r="G31" s="548">
        <f>SUMIF(mip!$D$14:$D$70,"inventaris en apparatuur",mip!R$14:R$70)</f>
        <v>0</v>
      </c>
      <c r="H31" s="548">
        <f>SUMIF(mip!$D$14:$D$70,"inventaris en apparatuur",mip!S$14:S$70)</f>
        <v>0</v>
      </c>
      <c r="I31" s="548">
        <f>SUMIF(mip!$D$14:$D$70,"inventaris en apparatuur",mip!T$14:T$70)</f>
        <v>0</v>
      </c>
      <c r="J31" s="548">
        <f>SUMIF(mip!$D$14:$D$70,"inventaris en apparatuur",mip!U$14:U$70)</f>
        <v>0</v>
      </c>
      <c r="K31" s="548">
        <f>SUMIF(mip!$D$14:$D$70,"inventaris en apparatuur",mip!V$14:V$70)</f>
        <v>0</v>
      </c>
      <c r="L31" s="548">
        <f>SUMIF(mip!$D$14:$D$70,"inventaris en apparatuur",mip!W$14:W$70)</f>
        <v>0</v>
      </c>
      <c r="M31" s="548">
        <f>SUMIF(mip!$D$14:$D$70,"inventaris en apparatuur",mip!X$14:X$70)</f>
        <v>0</v>
      </c>
      <c r="N31" s="548">
        <f>SUMIF(mip!$D$14:$D$70,"inventaris en apparatuur",mip!Y$14:Y$70)</f>
        <v>0</v>
      </c>
      <c r="O31" s="191"/>
      <c r="P31" s="78"/>
      <c r="T31" s="437"/>
      <c r="U31" s="437"/>
      <c r="V31" s="437"/>
      <c r="X31" s="437"/>
      <c r="Y31" s="437"/>
    </row>
    <row r="32" spans="2:25" x14ac:dyDescent="0.2">
      <c r="B32" s="76"/>
      <c r="C32" s="191"/>
      <c r="D32" s="50" t="s">
        <v>121</v>
      </c>
      <c r="E32" s="191"/>
      <c r="F32" s="548">
        <f>SUMIF(mip!$D$14:$D$70,"leermiddelen",mip!Q$14:Q$70)</f>
        <v>0</v>
      </c>
      <c r="G32" s="548">
        <f>SUMIF(mip!$D$14:$D$70,"leermiddelen",mip!R$14:R$70)</f>
        <v>0</v>
      </c>
      <c r="H32" s="548">
        <f>SUMIF(mip!$D$14:$D$70,"leermiddelen",mip!S$14:S$70)</f>
        <v>0</v>
      </c>
      <c r="I32" s="548">
        <f>SUMIF(mip!$D$14:$D$70,"leermiddelen",mip!T$14:T$70)</f>
        <v>0</v>
      </c>
      <c r="J32" s="548">
        <f>SUMIF(mip!$D$14:$D$70,"leermiddelen",mip!U$14:U$70)</f>
        <v>0</v>
      </c>
      <c r="K32" s="548">
        <f>SUMIF(mip!$D$14:$D$70,"leermiddelen",mip!V$14:V$70)</f>
        <v>0</v>
      </c>
      <c r="L32" s="548">
        <f>SUMIF(mip!$D$14:$D$70,"leermiddelen",mip!W$14:W$70)</f>
        <v>0</v>
      </c>
      <c r="M32" s="548">
        <f>SUMIF(mip!$D$14:$D$70,"leermiddelen",mip!X$14:X$70)</f>
        <v>0</v>
      </c>
      <c r="N32" s="548">
        <f>SUMIF(mip!$D$14:$D$70,"leermiddelen",mip!Y$14:Y$70)</f>
        <v>0</v>
      </c>
      <c r="O32" s="191"/>
      <c r="P32" s="78"/>
      <c r="T32" s="437"/>
      <c r="U32" s="437"/>
      <c r="V32" s="437"/>
      <c r="X32" s="437"/>
      <c r="Y32" s="437"/>
    </row>
    <row r="33" spans="2:25" x14ac:dyDescent="0.2">
      <c r="B33" s="76"/>
      <c r="C33" s="191"/>
      <c r="D33" s="50" t="s">
        <v>128</v>
      </c>
      <c r="E33" s="191"/>
      <c r="F33" s="548">
        <f>SUMIF(mip!$D$14:$D$70,"overige materiële vaste activa",mip!Q$14:Q$70)</f>
        <v>0</v>
      </c>
      <c r="G33" s="548">
        <f>SUMIF(mip!$D$14:$D$70,"overige materiële vaste activa",mip!R$14:R$70)</f>
        <v>0</v>
      </c>
      <c r="H33" s="548">
        <f>SUMIF(mip!$D$14:$D$70,"overige materiële vaste activa",mip!S$14:S$70)</f>
        <v>0</v>
      </c>
      <c r="I33" s="548">
        <f>SUMIF(mip!$D$14:$D$70,"overige materiële vaste activa",mip!T$14:T$70)</f>
        <v>0</v>
      </c>
      <c r="J33" s="548">
        <f>SUMIF(mip!$D$14:$D$70,"overige materiële vaste activa",mip!U$14:U$70)</f>
        <v>0</v>
      </c>
      <c r="K33" s="548">
        <f>SUMIF(mip!$D$14:$D$70,"overige materiële vaste activa",mip!V$14:V$70)</f>
        <v>0</v>
      </c>
      <c r="L33" s="548">
        <f>SUMIF(mip!$D$14:$D$70,"overige materiële vaste activa",mip!W$14:W$70)</f>
        <v>0</v>
      </c>
      <c r="M33" s="548">
        <f>SUMIF(mip!$D$14:$D$70,"overige materiële vaste activa",mip!X$14:X$70)</f>
        <v>0</v>
      </c>
      <c r="N33" s="548">
        <f>SUMIF(mip!$D$14:$D$70,"overige materiële vaste activa",mip!Y$14:Y$70)</f>
        <v>0</v>
      </c>
      <c r="O33" s="191"/>
      <c r="P33" s="78"/>
      <c r="T33" s="437"/>
      <c r="U33" s="437"/>
      <c r="V33" s="437"/>
      <c r="X33" s="437"/>
      <c r="Y33" s="437"/>
    </row>
    <row r="34" spans="2:25" s="114" customFormat="1" x14ac:dyDescent="0.2">
      <c r="B34" s="80"/>
      <c r="C34" s="199"/>
      <c r="D34" s="199"/>
      <c r="E34" s="199"/>
      <c r="F34" s="563">
        <f t="shared" ref="F34:N34" si="4">SUM(F30:F33)</f>
        <v>0</v>
      </c>
      <c r="G34" s="563">
        <f t="shared" si="4"/>
        <v>0</v>
      </c>
      <c r="H34" s="563">
        <f t="shared" si="4"/>
        <v>0</v>
      </c>
      <c r="I34" s="563">
        <f t="shared" si="4"/>
        <v>0</v>
      </c>
      <c r="J34" s="563">
        <f t="shared" si="4"/>
        <v>0</v>
      </c>
      <c r="K34" s="563">
        <f t="shared" si="4"/>
        <v>0</v>
      </c>
      <c r="L34" s="563">
        <f t="shared" si="4"/>
        <v>0</v>
      </c>
      <c r="M34" s="563">
        <f t="shared" si="4"/>
        <v>0</v>
      </c>
      <c r="N34" s="563">
        <f t="shared" si="4"/>
        <v>0</v>
      </c>
      <c r="O34" s="199"/>
      <c r="P34" s="91"/>
      <c r="S34" s="441"/>
      <c r="T34" s="441"/>
      <c r="U34" s="441"/>
      <c r="V34" s="441"/>
      <c r="W34" s="441"/>
      <c r="X34" s="441"/>
      <c r="Y34" s="441"/>
    </row>
    <row r="35" spans="2:25" x14ac:dyDescent="0.2">
      <c r="B35" s="76"/>
      <c r="C35" s="191"/>
      <c r="D35" s="191"/>
      <c r="E35" s="191"/>
      <c r="F35" s="191"/>
      <c r="G35" s="191"/>
      <c r="H35" s="191"/>
      <c r="I35" s="191"/>
      <c r="J35" s="191"/>
      <c r="K35" s="191"/>
      <c r="L35" s="191"/>
      <c r="M35" s="191"/>
      <c r="N35" s="191"/>
      <c r="O35" s="191"/>
      <c r="P35" s="78"/>
      <c r="T35" s="437"/>
      <c r="U35" s="437"/>
      <c r="V35" s="437"/>
      <c r="X35" s="437"/>
      <c r="Y35" s="437"/>
    </row>
    <row r="36" spans="2:25" x14ac:dyDescent="0.2">
      <c r="B36" s="76"/>
      <c r="C36" s="77"/>
      <c r="D36" s="77"/>
      <c r="E36" s="77"/>
      <c r="F36" s="77"/>
      <c r="G36" s="77"/>
      <c r="H36" s="77"/>
      <c r="I36" s="77"/>
      <c r="J36" s="77"/>
      <c r="K36" s="77"/>
      <c r="L36" s="77"/>
      <c r="M36" s="77"/>
      <c r="N36" s="77"/>
      <c r="O36" s="77"/>
      <c r="P36" s="78"/>
      <c r="T36" s="437"/>
      <c r="U36" s="437"/>
      <c r="V36" s="437"/>
      <c r="X36" s="437"/>
      <c r="Y36" s="437"/>
    </row>
    <row r="37" spans="2:25" x14ac:dyDescent="0.2">
      <c r="B37" s="76"/>
      <c r="C37" s="191"/>
      <c r="D37" s="191"/>
      <c r="E37" s="191"/>
      <c r="F37" s="191"/>
      <c r="G37" s="191"/>
      <c r="H37" s="191"/>
      <c r="I37" s="191"/>
      <c r="J37" s="191"/>
      <c r="K37" s="191"/>
      <c r="L37" s="191"/>
      <c r="M37" s="191"/>
      <c r="N37" s="191"/>
      <c r="O37" s="191"/>
      <c r="P37" s="78"/>
      <c r="T37" s="437"/>
      <c r="U37" s="437"/>
      <c r="V37" s="437"/>
      <c r="X37" s="437"/>
      <c r="Y37" s="437"/>
    </row>
    <row r="38" spans="2:25" x14ac:dyDescent="0.2">
      <c r="B38" s="76"/>
      <c r="C38" s="191"/>
      <c r="D38" s="618" t="s">
        <v>182</v>
      </c>
      <c r="E38" s="191"/>
      <c r="F38" s="191"/>
      <c r="G38" s="191"/>
      <c r="H38" s="191"/>
      <c r="I38" s="191"/>
      <c r="J38" s="191"/>
      <c r="K38" s="191"/>
      <c r="L38" s="191"/>
      <c r="M38" s="191"/>
      <c r="N38" s="191"/>
      <c r="O38" s="191"/>
      <c r="P38" s="78"/>
      <c r="T38" s="437"/>
      <c r="U38" s="437"/>
      <c r="V38" s="437"/>
      <c r="X38" s="437"/>
      <c r="Y38" s="437"/>
    </row>
    <row r="39" spans="2:25" x14ac:dyDescent="0.2">
      <c r="B39" s="76"/>
      <c r="C39" s="191"/>
      <c r="D39" s="50" t="s">
        <v>125</v>
      </c>
      <c r="E39" s="191"/>
      <c r="F39" s="547">
        <f t="shared" ref="F39:N39" si="5">F12+F21-F30</f>
        <v>0</v>
      </c>
      <c r="G39" s="547">
        <f t="shared" si="5"/>
        <v>0</v>
      </c>
      <c r="H39" s="547">
        <f t="shared" si="5"/>
        <v>0</v>
      </c>
      <c r="I39" s="547">
        <f t="shared" si="5"/>
        <v>0</v>
      </c>
      <c r="J39" s="547">
        <f t="shared" si="5"/>
        <v>0</v>
      </c>
      <c r="K39" s="547">
        <f t="shared" si="5"/>
        <v>0</v>
      </c>
      <c r="L39" s="547">
        <f t="shared" si="5"/>
        <v>0</v>
      </c>
      <c r="M39" s="547">
        <f t="shared" si="5"/>
        <v>0</v>
      </c>
      <c r="N39" s="547">
        <f t="shared" si="5"/>
        <v>0</v>
      </c>
      <c r="O39" s="191"/>
      <c r="P39" s="78"/>
      <c r="T39" s="437"/>
      <c r="U39" s="437"/>
      <c r="V39" s="437"/>
      <c r="X39" s="437"/>
      <c r="Y39" s="437"/>
    </row>
    <row r="40" spans="2:25" x14ac:dyDescent="0.2">
      <c r="B40" s="76"/>
      <c r="C40" s="191"/>
      <c r="D40" s="50" t="s">
        <v>127</v>
      </c>
      <c r="E40" s="191"/>
      <c r="F40" s="547">
        <f t="shared" ref="F40:J42" si="6">F13+F22-F31</f>
        <v>0</v>
      </c>
      <c r="G40" s="547">
        <f t="shared" si="6"/>
        <v>0</v>
      </c>
      <c r="H40" s="547">
        <f t="shared" si="6"/>
        <v>0</v>
      </c>
      <c r="I40" s="547">
        <f t="shared" si="6"/>
        <v>0</v>
      </c>
      <c r="J40" s="547">
        <f t="shared" si="6"/>
        <v>0</v>
      </c>
      <c r="K40" s="547">
        <f t="shared" ref="K40:N42" si="7">K13+K22-K31</f>
        <v>0</v>
      </c>
      <c r="L40" s="547">
        <f t="shared" si="7"/>
        <v>0</v>
      </c>
      <c r="M40" s="547">
        <f t="shared" si="7"/>
        <v>0</v>
      </c>
      <c r="N40" s="547">
        <f t="shared" si="7"/>
        <v>0</v>
      </c>
      <c r="O40" s="191"/>
      <c r="P40" s="78"/>
      <c r="T40" s="437"/>
      <c r="U40" s="437"/>
      <c r="V40" s="437"/>
      <c r="X40" s="437"/>
      <c r="Y40" s="437"/>
    </row>
    <row r="41" spans="2:25" x14ac:dyDescent="0.2">
      <c r="B41" s="76"/>
      <c r="C41" s="191"/>
      <c r="D41" s="50" t="s">
        <v>121</v>
      </c>
      <c r="E41" s="191"/>
      <c r="F41" s="547">
        <f t="shared" si="6"/>
        <v>0</v>
      </c>
      <c r="G41" s="547">
        <f t="shared" si="6"/>
        <v>0</v>
      </c>
      <c r="H41" s="547">
        <f t="shared" si="6"/>
        <v>0</v>
      </c>
      <c r="I41" s="547">
        <f t="shared" si="6"/>
        <v>0</v>
      </c>
      <c r="J41" s="547">
        <f t="shared" si="6"/>
        <v>0</v>
      </c>
      <c r="K41" s="547">
        <f t="shared" si="7"/>
        <v>0</v>
      </c>
      <c r="L41" s="547">
        <f t="shared" si="7"/>
        <v>0</v>
      </c>
      <c r="M41" s="547">
        <f t="shared" si="7"/>
        <v>0</v>
      </c>
      <c r="N41" s="547">
        <f t="shared" si="7"/>
        <v>0</v>
      </c>
      <c r="O41" s="191"/>
      <c r="P41" s="78"/>
      <c r="T41" s="437"/>
      <c r="U41" s="437"/>
      <c r="V41" s="437"/>
      <c r="X41" s="437"/>
      <c r="Y41" s="437"/>
    </row>
    <row r="42" spans="2:25" x14ac:dyDescent="0.2">
      <c r="B42" s="76"/>
      <c r="C42" s="191"/>
      <c r="D42" s="50" t="s">
        <v>128</v>
      </c>
      <c r="E42" s="191"/>
      <c r="F42" s="547">
        <f t="shared" si="6"/>
        <v>0</v>
      </c>
      <c r="G42" s="547">
        <f t="shared" si="6"/>
        <v>0</v>
      </c>
      <c r="H42" s="547">
        <f t="shared" si="6"/>
        <v>0</v>
      </c>
      <c r="I42" s="547">
        <f t="shared" si="6"/>
        <v>0</v>
      </c>
      <c r="J42" s="547">
        <f t="shared" si="6"/>
        <v>0</v>
      </c>
      <c r="K42" s="547">
        <f t="shared" si="7"/>
        <v>0</v>
      </c>
      <c r="L42" s="547">
        <f t="shared" si="7"/>
        <v>0</v>
      </c>
      <c r="M42" s="547">
        <f t="shared" si="7"/>
        <v>0</v>
      </c>
      <c r="N42" s="547">
        <f t="shared" si="7"/>
        <v>0</v>
      </c>
      <c r="O42" s="191"/>
      <c r="P42" s="78"/>
      <c r="T42" s="437"/>
      <c r="U42" s="437"/>
      <c r="V42" s="437"/>
      <c r="X42" s="437"/>
      <c r="Y42" s="437"/>
    </row>
    <row r="43" spans="2:25" s="11" customFormat="1" x14ac:dyDescent="0.2">
      <c r="B43" s="62"/>
      <c r="C43" s="38"/>
      <c r="D43" s="93"/>
      <c r="E43" s="38"/>
      <c r="F43" s="563">
        <f t="shared" ref="F43:N43" si="8">SUM(F39:F42)</f>
        <v>0</v>
      </c>
      <c r="G43" s="563">
        <f t="shared" si="8"/>
        <v>0</v>
      </c>
      <c r="H43" s="563">
        <f t="shared" si="8"/>
        <v>0</v>
      </c>
      <c r="I43" s="563">
        <f t="shared" si="8"/>
        <v>0</v>
      </c>
      <c r="J43" s="563">
        <f t="shared" si="8"/>
        <v>0</v>
      </c>
      <c r="K43" s="563">
        <f t="shared" si="8"/>
        <v>0</v>
      </c>
      <c r="L43" s="563">
        <f t="shared" si="8"/>
        <v>0</v>
      </c>
      <c r="M43" s="563">
        <f t="shared" si="8"/>
        <v>0</v>
      </c>
      <c r="N43" s="563">
        <f t="shared" si="8"/>
        <v>0</v>
      </c>
      <c r="O43" s="38"/>
      <c r="P43" s="63"/>
      <c r="S43" s="437"/>
      <c r="T43" s="437"/>
      <c r="U43" s="437"/>
      <c r="V43" s="437"/>
      <c r="W43" s="437"/>
      <c r="X43" s="437"/>
      <c r="Y43" s="437"/>
    </row>
    <row r="44" spans="2:25" x14ac:dyDescent="0.2">
      <c r="B44" s="76"/>
      <c r="C44" s="191"/>
      <c r="D44" s="191"/>
      <c r="E44" s="191"/>
      <c r="F44" s="191"/>
      <c r="G44" s="191"/>
      <c r="H44" s="191"/>
      <c r="I44" s="191"/>
      <c r="J44" s="191"/>
      <c r="K44" s="191"/>
      <c r="L44" s="191"/>
      <c r="M44" s="191"/>
      <c r="N44" s="191"/>
      <c r="O44" s="191"/>
      <c r="P44" s="78"/>
      <c r="T44" s="437"/>
      <c r="U44" s="437"/>
      <c r="V44" s="437"/>
      <c r="X44" s="437"/>
      <c r="Y44" s="437"/>
    </row>
    <row r="45" spans="2:25" x14ac:dyDescent="0.2">
      <c r="B45" s="76"/>
      <c r="C45" s="77"/>
      <c r="D45" s="77"/>
      <c r="E45" s="77"/>
      <c r="F45" s="77"/>
      <c r="G45" s="77"/>
      <c r="H45" s="77"/>
      <c r="I45" s="77"/>
      <c r="J45" s="77"/>
      <c r="K45" s="77"/>
      <c r="L45" s="77"/>
      <c r="M45" s="77"/>
      <c r="N45" s="77"/>
      <c r="O45" s="77"/>
      <c r="P45" s="78"/>
      <c r="T45" s="437"/>
      <c r="U45" s="437"/>
      <c r="V45" s="437"/>
      <c r="X45" s="437"/>
      <c r="Y45" s="437"/>
    </row>
    <row r="46" spans="2:25" x14ac:dyDescent="0.2">
      <c r="B46" s="86"/>
      <c r="C46" s="83"/>
      <c r="D46" s="83"/>
      <c r="E46" s="83"/>
      <c r="F46" s="83"/>
      <c r="G46" s="83"/>
      <c r="H46" s="83"/>
      <c r="I46" s="83"/>
      <c r="J46" s="83"/>
      <c r="K46" s="83"/>
      <c r="L46" s="83"/>
      <c r="M46" s="83"/>
      <c r="N46" s="83"/>
      <c r="O46" s="654" t="s">
        <v>429</v>
      </c>
      <c r="P46" s="85"/>
    </row>
  </sheetData>
  <sheetProtection algorithmName="SHA-512" hashValue="nFhWrFwvKP+nokj8Ed2n/cP7p2hPWsyoOZc3FKsd3dFMro7lEs77R/rSatOeaW0B8xtHUFtyPLkIlbPKFINVcQ==" saltValue="vvCFqGv7g8BS6YRKcSdT7A==" spinCount="100000" sheet="1" objects="1" scenarios="1"/>
  <phoneticPr fontId="0" type="noConversion"/>
  <hyperlinks>
    <hyperlink ref="O46" r:id="rId1"/>
  </hyperlinks>
  <pageMargins left="0.74803149606299213" right="0.74803149606299213" top="0.98425196850393704" bottom="0.98425196850393704" header="0.51181102362204722" footer="0.51181102362204722"/>
  <pageSetup paperSize="9" scale="65" orientation="landscape" r:id="rId2"/>
  <headerFooter alignWithMargins="0">
    <oddHeader>&amp;L&amp;"Arial,Vet"&amp;9&amp;F&amp;R&amp;"Arial,Vet"&amp;9&amp;A</oddHeader>
    <oddFooter>&amp;L&amp;"Arial,Vet"&amp;9be.keizer@wxs.nl&amp;C&amp;"Arial,Vet"&amp;9pagina &amp;P&amp;R&amp;"Arial,Vet"&amp;9&amp;D</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3"/>
  <sheetViews>
    <sheetView zoomScale="80" zoomScaleNormal="80" workbookViewId="0">
      <selection activeCell="B2" sqref="B2"/>
    </sheetView>
  </sheetViews>
  <sheetFormatPr defaultRowHeight="12.75" x14ac:dyDescent="0.2"/>
  <cols>
    <col min="1" max="1" width="3.7109375" style="110" customWidth="1"/>
    <col min="2" max="3" width="2.7109375" style="110" customWidth="1"/>
    <col min="4" max="4" width="45.7109375" style="110" customWidth="1"/>
    <col min="5" max="5" width="2.7109375" style="110" customWidth="1"/>
    <col min="6" max="11" width="16.85546875" style="110" customWidth="1"/>
    <col min="12" max="12" width="2.7109375" style="110" customWidth="1"/>
    <col min="13" max="13" width="3.140625" style="110" customWidth="1"/>
    <col min="14" max="15" width="5.7109375" style="110" customWidth="1"/>
    <col min="16" max="16384" width="9.140625" style="110"/>
  </cols>
  <sheetData>
    <row r="1" spans="2:14" ht="12.75" customHeight="1" x14ac:dyDescent="0.2"/>
    <row r="2" spans="2:14" x14ac:dyDescent="0.2">
      <c r="B2" s="72"/>
      <c r="C2" s="73"/>
      <c r="D2" s="73"/>
      <c r="E2" s="73"/>
      <c r="F2" s="73"/>
      <c r="G2" s="73"/>
      <c r="H2" s="73"/>
      <c r="I2" s="73"/>
      <c r="J2" s="73"/>
      <c r="K2" s="73"/>
      <c r="L2" s="73"/>
      <c r="M2" s="75"/>
    </row>
    <row r="3" spans="2:14" x14ac:dyDescent="0.2">
      <c r="B3" s="989"/>
      <c r="C3" s="77"/>
      <c r="D3" s="77"/>
      <c r="E3" s="77"/>
      <c r="F3" s="77"/>
      <c r="G3" s="77"/>
      <c r="H3" s="77"/>
      <c r="I3" s="77"/>
      <c r="J3" s="77"/>
      <c r="K3" s="77"/>
      <c r="L3" s="77"/>
      <c r="M3" s="78"/>
    </row>
    <row r="4" spans="2:14" s="195" customFormat="1" ht="18.75" x14ac:dyDescent="0.3">
      <c r="B4" s="1515"/>
      <c r="C4" s="620" t="s">
        <v>65</v>
      </c>
      <c r="D4" s="176"/>
      <c r="E4" s="204"/>
      <c r="F4" s="451"/>
      <c r="G4" s="204"/>
      <c r="H4" s="204"/>
      <c r="I4" s="204"/>
      <c r="J4" s="204"/>
      <c r="K4" s="204"/>
      <c r="L4" s="204"/>
      <c r="M4" s="452"/>
    </row>
    <row r="5" spans="2:14" ht="18.75" x14ac:dyDescent="0.3">
      <c r="B5" s="989"/>
      <c r="C5" s="443" t="str">
        <f>+'geg LO'!C5</f>
        <v xml:space="preserve">SWV VO </v>
      </c>
      <c r="D5" s="77"/>
      <c r="E5" s="77"/>
      <c r="F5" s="77"/>
      <c r="G5" s="77"/>
      <c r="H5" s="77"/>
      <c r="I5" s="77"/>
      <c r="J5" s="77"/>
      <c r="K5" s="77"/>
      <c r="L5" s="77"/>
      <c r="M5" s="78"/>
    </row>
    <row r="6" spans="2:14" x14ac:dyDescent="0.2">
      <c r="B6" s="989"/>
      <c r="C6" s="77"/>
      <c r="D6" s="77"/>
      <c r="E6" s="453"/>
      <c r="F6" s="54"/>
      <c r="G6" s="54"/>
      <c r="H6" s="54"/>
      <c r="I6" s="54"/>
      <c r="J6" s="54"/>
      <c r="K6" s="54"/>
      <c r="L6" s="454"/>
      <c r="M6" s="455"/>
      <c r="N6" s="448"/>
    </row>
    <row r="7" spans="2:14" x14ac:dyDescent="0.2">
      <c r="B7" s="989"/>
      <c r="C7" s="77"/>
      <c r="D7" s="77"/>
      <c r="E7" s="453"/>
      <c r="F7" s="54"/>
      <c r="G7" s="456"/>
      <c r="H7" s="54"/>
      <c r="I7" s="54"/>
      <c r="J7" s="54"/>
      <c r="K7" s="54"/>
      <c r="L7" s="454"/>
      <c r="M7" s="455"/>
      <c r="N7" s="448"/>
    </row>
    <row r="8" spans="2:14" s="212" customFormat="1" ht="15.75" x14ac:dyDescent="0.25">
      <c r="B8" s="1516"/>
      <c r="C8" s="216"/>
      <c r="D8" s="846" t="s">
        <v>163</v>
      </c>
      <c r="E8" s="457"/>
      <c r="F8" s="616">
        <f>tab!E4</f>
        <v>2015</v>
      </c>
      <c r="G8" s="616">
        <f>tab!F4</f>
        <v>2016</v>
      </c>
      <c r="H8" s="616">
        <f>tab!G4</f>
        <v>2017</v>
      </c>
      <c r="I8" s="616">
        <f>tab!H4</f>
        <v>2018</v>
      </c>
      <c r="J8" s="616">
        <f>tab!I4</f>
        <v>2019</v>
      </c>
      <c r="K8" s="616">
        <f>tab!J4</f>
        <v>2020</v>
      </c>
      <c r="L8" s="458"/>
      <c r="M8" s="459"/>
      <c r="N8" s="449"/>
    </row>
    <row r="9" spans="2:14" x14ac:dyDescent="0.2">
      <c r="B9" s="989"/>
      <c r="C9" s="77"/>
      <c r="D9" s="77"/>
      <c r="E9" s="453"/>
      <c r="F9" s="77"/>
      <c r="G9" s="77"/>
      <c r="H9" s="77"/>
      <c r="I9" s="77"/>
      <c r="J9" s="77"/>
      <c r="K9" s="77"/>
      <c r="L9" s="454"/>
      <c r="M9" s="455"/>
      <c r="N9" s="448"/>
    </row>
    <row r="10" spans="2:14" x14ac:dyDescent="0.2">
      <c r="B10" s="989"/>
      <c r="C10" s="516"/>
      <c r="D10" s="191"/>
      <c r="E10" s="464"/>
      <c r="F10" s="191"/>
      <c r="G10" s="191"/>
      <c r="H10" s="191"/>
      <c r="I10" s="191"/>
      <c r="J10" s="191"/>
      <c r="K10" s="191"/>
      <c r="L10" s="465"/>
      <c r="M10" s="455"/>
      <c r="N10" s="448"/>
    </row>
    <row r="11" spans="2:14" x14ac:dyDescent="0.2">
      <c r="B11" s="989"/>
      <c r="C11" s="516"/>
      <c r="D11" s="604" t="s">
        <v>288</v>
      </c>
      <c r="E11" s="464"/>
      <c r="F11" s="191"/>
      <c r="G11" s="191"/>
      <c r="H11" s="191"/>
      <c r="I11" s="191"/>
      <c r="J11" s="191"/>
      <c r="K11" s="191"/>
      <c r="L11" s="465"/>
      <c r="M11" s="455"/>
      <c r="N11" s="448"/>
    </row>
    <row r="12" spans="2:14" x14ac:dyDescent="0.2">
      <c r="B12" s="989"/>
      <c r="C12" s="516"/>
      <c r="D12" s="191"/>
      <c r="E12" s="464"/>
      <c r="F12" s="191"/>
      <c r="G12" s="191"/>
      <c r="H12" s="191"/>
      <c r="I12" s="191"/>
      <c r="J12" s="191"/>
      <c r="K12" s="191"/>
      <c r="L12" s="465"/>
      <c r="M12" s="455"/>
      <c r="N12" s="448"/>
    </row>
    <row r="13" spans="2:14" x14ac:dyDescent="0.2">
      <c r="B13" s="989"/>
      <c r="C13" s="516"/>
      <c r="D13" s="199" t="s">
        <v>262</v>
      </c>
      <c r="E13" s="464"/>
      <c r="F13" s="191"/>
      <c r="G13" s="191"/>
      <c r="H13" s="191"/>
      <c r="I13" s="191"/>
      <c r="J13" s="191"/>
      <c r="K13" s="191"/>
      <c r="L13" s="465"/>
      <c r="M13" s="455"/>
      <c r="N13" s="448"/>
    </row>
    <row r="14" spans="2:14" x14ac:dyDescent="0.2">
      <c r="B14" s="989"/>
      <c r="C14" s="516"/>
      <c r="D14" s="50" t="s">
        <v>116</v>
      </c>
      <c r="E14" s="191"/>
      <c r="F14" s="1557">
        <v>0</v>
      </c>
      <c r="G14" s="517">
        <f>pers!I224+mat!K48</f>
        <v>0</v>
      </c>
      <c r="H14" s="517">
        <f>pers!J224+mat!L48</f>
        <v>0</v>
      </c>
      <c r="I14" s="517">
        <f>pers!K224+mat!M48</f>
        <v>0</v>
      </c>
      <c r="J14" s="517">
        <f>pers!L224+mat!N48</f>
        <v>0</v>
      </c>
      <c r="K14" s="517">
        <f>pers!M224+mat!O48</f>
        <v>0</v>
      </c>
      <c r="L14" s="191"/>
      <c r="M14" s="78"/>
    </row>
    <row r="15" spans="2:14" ht="12" customHeight="1" x14ac:dyDescent="0.2">
      <c r="B15" s="989"/>
      <c r="C15" s="516"/>
      <c r="D15" s="50" t="s">
        <v>195</v>
      </c>
      <c r="E15" s="191"/>
      <c r="F15" s="1558">
        <v>0</v>
      </c>
      <c r="G15" s="564">
        <f>pers!I225+mat!K68</f>
        <v>0</v>
      </c>
      <c r="H15" s="564">
        <f>pers!J225+mat!L68</f>
        <v>0</v>
      </c>
      <c r="I15" s="564">
        <f>pers!K225+mat!M68</f>
        <v>0</v>
      </c>
      <c r="J15" s="564">
        <f>pers!L225+mat!N68</f>
        <v>0</v>
      </c>
      <c r="K15" s="564">
        <f>pers!M225+mat!O68</f>
        <v>0</v>
      </c>
      <c r="L15" s="191"/>
      <c r="M15" s="78"/>
    </row>
    <row r="16" spans="2:14" ht="12" hidden="1" customHeight="1" x14ac:dyDescent="0.2">
      <c r="B16" s="989"/>
      <c r="C16" s="516"/>
      <c r="D16" s="50" t="s">
        <v>208</v>
      </c>
      <c r="E16" s="191"/>
      <c r="F16" s="1557"/>
      <c r="G16" s="517">
        <v>0</v>
      </c>
      <c r="H16" s="517">
        <v>0</v>
      </c>
      <c r="I16" s="517">
        <v>0</v>
      </c>
      <c r="J16" s="517">
        <v>0</v>
      </c>
      <c r="K16" s="517">
        <v>0</v>
      </c>
      <c r="L16" s="191"/>
      <c r="M16" s="78"/>
    </row>
    <row r="17" spans="2:13" ht="12" customHeight="1" x14ac:dyDescent="0.2">
      <c r="B17" s="989"/>
      <c r="C17" s="516"/>
      <c r="D17" s="50" t="s">
        <v>209</v>
      </c>
      <c r="E17" s="191"/>
      <c r="F17" s="1559">
        <v>0</v>
      </c>
      <c r="G17" s="702">
        <f>pers!I226+mat!K75+mat!K85</f>
        <v>0</v>
      </c>
      <c r="H17" s="702">
        <f>pers!J226+mat!L75+mat!L85</f>
        <v>0</v>
      </c>
      <c r="I17" s="702">
        <f>pers!K226+mat!M75+mat!M85</f>
        <v>0</v>
      </c>
      <c r="J17" s="702">
        <f>pers!L226+mat!N75+mat!N85</f>
        <v>0</v>
      </c>
      <c r="K17" s="702">
        <f>pers!M226+mat!O75+mat!O85</f>
        <v>0</v>
      </c>
      <c r="L17" s="191"/>
      <c r="M17" s="78"/>
    </row>
    <row r="18" spans="2:13" ht="12" customHeight="1" x14ac:dyDescent="0.2">
      <c r="B18" s="989"/>
      <c r="C18" s="516"/>
      <c r="D18" s="50" t="s">
        <v>118</v>
      </c>
      <c r="E18" s="191"/>
      <c r="F18" s="1559">
        <v>0</v>
      </c>
      <c r="G18" s="702">
        <f>pers!I227+(mat!K94-mat!K75-mat!K85)</f>
        <v>0</v>
      </c>
      <c r="H18" s="702">
        <f>pers!J227+(mat!L94-mat!L75-mat!L85)</f>
        <v>0</v>
      </c>
      <c r="I18" s="702">
        <f>pers!K227+(mat!M94-mat!M75-mat!M85)</f>
        <v>0</v>
      </c>
      <c r="J18" s="702">
        <f>pers!L227+(mat!N94-mat!N75-mat!N85)</f>
        <v>0</v>
      </c>
      <c r="K18" s="702">
        <f>pers!M227+(mat!O94-mat!O75-mat!O85)</f>
        <v>0</v>
      </c>
      <c r="L18" s="191"/>
      <c r="M18" s="78"/>
    </row>
    <row r="19" spans="2:13" x14ac:dyDescent="0.2">
      <c r="B19" s="989"/>
      <c r="C19" s="516"/>
      <c r="D19" s="447"/>
      <c r="E19" s="199"/>
      <c r="F19" s="566">
        <f t="shared" ref="F19:K19" si="0">SUM(F14:F18)</f>
        <v>0</v>
      </c>
      <c r="G19" s="566">
        <f t="shared" si="0"/>
        <v>0</v>
      </c>
      <c r="H19" s="566">
        <f t="shared" si="0"/>
        <v>0</v>
      </c>
      <c r="I19" s="566">
        <f t="shared" si="0"/>
        <v>0</v>
      </c>
      <c r="J19" s="566">
        <f t="shared" si="0"/>
        <v>0</v>
      </c>
      <c r="K19" s="566">
        <f t="shared" si="0"/>
        <v>0</v>
      </c>
      <c r="L19" s="191"/>
      <c r="M19" s="78"/>
    </row>
    <row r="20" spans="2:13" x14ac:dyDescent="0.2">
      <c r="B20" s="1517"/>
      <c r="C20" s="1508"/>
      <c r="D20" s="199" t="s">
        <v>210</v>
      </c>
      <c r="E20" s="199"/>
      <c r="F20" s="467"/>
      <c r="G20" s="467"/>
      <c r="H20" s="467"/>
      <c r="I20" s="467"/>
      <c r="J20" s="467"/>
      <c r="K20" s="467"/>
      <c r="L20" s="191"/>
      <c r="M20" s="78"/>
    </row>
    <row r="21" spans="2:13" x14ac:dyDescent="0.2">
      <c r="B21" s="989"/>
      <c r="C21" s="516"/>
      <c r="D21" s="468" t="s">
        <v>217</v>
      </c>
      <c r="E21" s="38"/>
      <c r="F21" s="1558">
        <v>0</v>
      </c>
      <c r="G21" s="564">
        <f>pers!I246</f>
        <v>0</v>
      </c>
      <c r="H21" s="564">
        <f>pers!J246</f>
        <v>0</v>
      </c>
      <c r="I21" s="564">
        <f>pers!K246</f>
        <v>0</v>
      </c>
      <c r="J21" s="564">
        <f>pers!L246</f>
        <v>0</v>
      </c>
      <c r="K21" s="564">
        <f>pers!M246</f>
        <v>0</v>
      </c>
      <c r="L21" s="191"/>
      <c r="M21" s="78"/>
    </row>
    <row r="22" spans="2:13" x14ac:dyDescent="0.2">
      <c r="B22" s="989"/>
      <c r="C22" s="516"/>
      <c r="D22" s="191" t="s">
        <v>119</v>
      </c>
      <c r="E22" s="191"/>
      <c r="F22" s="564">
        <f>mat!J114</f>
        <v>0</v>
      </c>
      <c r="G22" s="564">
        <f>mat!K114</f>
        <v>0</v>
      </c>
      <c r="H22" s="564">
        <f>mat!L114</f>
        <v>0</v>
      </c>
      <c r="I22" s="564">
        <f>mat!M114</f>
        <v>0</v>
      </c>
      <c r="J22" s="564">
        <f>mat!N114</f>
        <v>0</v>
      </c>
      <c r="K22" s="564">
        <f>mat!O114</f>
        <v>0</v>
      </c>
      <c r="L22" s="191"/>
      <c r="M22" s="78"/>
    </row>
    <row r="23" spans="2:13" x14ac:dyDescent="0.2">
      <c r="B23" s="989"/>
      <c r="C23" s="516"/>
      <c r="D23" s="191" t="s">
        <v>120</v>
      </c>
      <c r="E23" s="191"/>
      <c r="F23" s="564">
        <f>mat!J134</f>
        <v>0</v>
      </c>
      <c r="G23" s="564">
        <f>mat!K134</f>
        <v>0</v>
      </c>
      <c r="H23" s="564">
        <f>mat!L134</f>
        <v>0</v>
      </c>
      <c r="I23" s="564">
        <f>mat!M134</f>
        <v>0</v>
      </c>
      <c r="J23" s="564">
        <f>mat!N134</f>
        <v>0</v>
      </c>
      <c r="K23" s="564">
        <f>mat!O134</f>
        <v>0</v>
      </c>
      <c r="L23" s="191"/>
      <c r="M23" s="78"/>
    </row>
    <row r="24" spans="2:13" x14ac:dyDescent="0.2">
      <c r="B24" s="989"/>
      <c r="C24" s="516"/>
      <c r="D24" s="191" t="s">
        <v>211</v>
      </c>
      <c r="E24" s="191"/>
      <c r="F24" s="517">
        <f>mat!J186</f>
        <v>0</v>
      </c>
      <c r="G24" s="517">
        <f>mat!K186</f>
        <v>0</v>
      </c>
      <c r="H24" s="517">
        <f>mat!L186</f>
        <v>0</v>
      </c>
      <c r="I24" s="517">
        <f>mat!M186</f>
        <v>0</v>
      </c>
      <c r="J24" s="517">
        <f>mat!N186</f>
        <v>0</v>
      </c>
      <c r="K24" s="517">
        <f>mat!O186</f>
        <v>0</v>
      </c>
      <c r="L24" s="191"/>
      <c r="M24" s="78"/>
    </row>
    <row r="25" spans="2:13" x14ac:dyDescent="0.2">
      <c r="B25" s="989"/>
      <c r="C25" s="516"/>
      <c r="D25" s="447"/>
      <c r="E25" s="191"/>
      <c r="F25" s="566">
        <f t="shared" ref="F25:K25" si="1">SUM(F21:F24)</f>
        <v>0</v>
      </c>
      <c r="G25" s="566">
        <f t="shared" si="1"/>
        <v>0</v>
      </c>
      <c r="H25" s="566">
        <f t="shared" si="1"/>
        <v>0</v>
      </c>
      <c r="I25" s="566">
        <f t="shared" si="1"/>
        <v>0</v>
      </c>
      <c r="J25" s="566">
        <f t="shared" si="1"/>
        <v>0</v>
      </c>
      <c r="K25" s="566">
        <f t="shared" si="1"/>
        <v>0</v>
      </c>
      <c r="L25" s="191"/>
      <c r="M25" s="78"/>
    </row>
    <row r="26" spans="2:13" x14ac:dyDescent="0.2">
      <c r="B26" s="989"/>
      <c r="C26" s="516"/>
      <c r="D26" s="469"/>
      <c r="E26" s="38"/>
      <c r="F26" s="470"/>
      <c r="G26" s="470"/>
      <c r="H26" s="470"/>
      <c r="I26" s="470"/>
      <c r="J26" s="470"/>
      <c r="K26" s="470"/>
      <c r="L26" s="191"/>
      <c r="M26" s="78"/>
    </row>
    <row r="27" spans="2:13" x14ac:dyDescent="0.2">
      <c r="B27" s="1070"/>
      <c r="C27" s="509"/>
      <c r="D27" s="447" t="s">
        <v>212</v>
      </c>
      <c r="E27" s="38"/>
      <c r="F27" s="566">
        <f t="shared" ref="F27:K27" si="2">F19-F25</f>
        <v>0</v>
      </c>
      <c r="G27" s="566">
        <f t="shared" si="2"/>
        <v>0</v>
      </c>
      <c r="H27" s="566">
        <f t="shared" si="2"/>
        <v>0</v>
      </c>
      <c r="I27" s="566">
        <f t="shared" si="2"/>
        <v>0</v>
      </c>
      <c r="J27" s="566">
        <f t="shared" si="2"/>
        <v>0</v>
      </c>
      <c r="K27" s="566">
        <f t="shared" si="2"/>
        <v>0</v>
      </c>
      <c r="L27" s="191"/>
      <c r="M27" s="78"/>
    </row>
    <row r="28" spans="2:13" x14ac:dyDescent="0.2">
      <c r="B28" s="989"/>
      <c r="C28" s="516"/>
      <c r="D28" s="435"/>
      <c r="E28" s="38"/>
      <c r="F28" s="470"/>
      <c r="G28" s="470"/>
      <c r="H28" s="470"/>
      <c r="I28" s="470"/>
      <c r="J28" s="470"/>
      <c r="K28" s="470"/>
      <c r="L28" s="191"/>
      <c r="M28" s="78"/>
    </row>
    <row r="29" spans="2:13" x14ac:dyDescent="0.2">
      <c r="B29" s="989"/>
      <c r="C29" s="77"/>
      <c r="D29" s="64"/>
      <c r="E29" s="56"/>
      <c r="F29" s="460"/>
      <c r="G29" s="460"/>
      <c r="H29" s="460"/>
      <c r="I29" s="460"/>
      <c r="J29" s="460"/>
      <c r="K29" s="460"/>
      <c r="L29" s="77"/>
      <c r="M29" s="78"/>
    </row>
    <row r="30" spans="2:13" x14ac:dyDescent="0.2">
      <c r="B30" s="989"/>
      <c r="C30" s="516"/>
      <c r="D30" s="435"/>
      <c r="E30" s="38"/>
      <c r="F30" s="466"/>
      <c r="G30" s="466"/>
      <c r="H30" s="466"/>
      <c r="I30" s="466"/>
      <c r="J30" s="466"/>
      <c r="K30" s="466"/>
      <c r="L30" s="191"/>
      <c r="M30" s="78"/>
    </row>
    <row r="31" spans="2:13" x14ac:dyDescent="0.2">
      <c r="B31" s="989"/>
      <c r="C31" s="516"/>
      <c r="D31" s="618" t="s">
        <v>189</v>
      </c>
      <c r="E31" s="38"/>
      <c r="F31" s="466"/>
      <c r="G31" s="466"/>
      <c r="H31" s="466"/>
      <c r="I31" s="466"/>
      <c r="J31" s="466"/>
      <c r="K31" s="466"/>
      <c r="L31" s="191"/>
      <c r="M31" s="78"/>
    </row>
    <row r="32" spans="2:13" x14ac:dyDescent="0.2">
      <c r="B32" s="989"/>
      <c r="C32" s="516"/>
      <c r="D32" s="435"/>
      <c r="E32" s="38"/>
      <c r="F32" s="466"/>
      <c r="G32" s="466"/>
      <c r="H32" s="466"/>
      <c r="I32" s="466"/>
      <c r="J32" s="466"/>
      <c r="K32" s="466"/>
      <c r="L32" s="191"/>
      <c r="M32" s="78"/>
    </row>
    <row r="33" spans="2:13" x14ac:dyDescent="0.2">
      <c r="B33" s="989"/>
      <c r="C33" s="516"/>
      <c r="D33" s="50" t="s">
        <v>122</v>
      </c>
      <c r="E33" s="38"/>
      <c r="F33" s="565">
        <v>0</v>
      </c>
      <c r="G33" s="565">
        <f t="shared" ref="G33:I34" si="3">+F33</f>
        <v>0</v>
      </c>
      <c r="H33" s="565">
        <f t="shared" si="3"/>
        <v>0</v>
      </c>
      <c r="I33" s="565">
        <f t="shared" si="3"/>
        <v>0</v>
      </c>
      <c r="J33" s="565">
        <f>+I33</f>
        <v>0</v>
      </c>
      <c r="K33" s="565">
        <f>+J33</f>
        <v>0</v>
      </c>
      <c r="L33" s="191"/>
      <c r="M33" s="78"/>
    </row>
    <row r="34" spans="2:13" x14ac:dyDescent="0.2">
      <c r="B34" s="989"/>
      <c r="C34" s="516"/>
      <c r="D34" s="50" t="s">
        <v>123</v>
      </c>
      <c r="E34" s="38"/>
      <c r="F34" s="565">
        <v>0</v>
      </c>
      <c r="G34" s="565">
        <f t="shared" si="3"/>
        <v>0</v>
      </c>
      <c r="H34" s="565">
        <f t="shared" si="3"/>
        <v>0</v>
      </c>
      <c r="I34" s="565">
        <f t="shared" si="3"/>
        <v>0</v>
      </c>
      <c r="J34" s="565">
        <f>+I34</f>
        <v>0</v>
      </c>
      <c r="K34" s="565">
        <f>+J34</f>
        <v>0</v>
      </c>
      <c r="L34" s="191"/>
      <c r="M34" s="78"/>
    </row>
    <row r="35" spans="2:13" x14ac:dyDescent="0.2">
      <c r="B35" s="989"/>
      <c r="C35" s="516"/>
      <c r="D35" s="50"/>
      <c r="E35" s="38"/>
      <c r="F35" s="466"/>
      <c r="G35" s="466"/>
      <c r="H35" s="466"/>
      <c r="I35" s="466"/>
      <c r="J35" s="466"/>
      <c r="K35" s="466"/>
      <c r="L35" s="191"/>
      <c r="M35" s="78"/>
    </row>
    <row r="36" spans="2:13" s="114" customFormat="1" x14ac:dyDescent="0.2">
      <c r="B36" s="1070"/>
      <c r="C36" s="509"/>
      <c r="D36" s="447" t="s">
        <v>213</v>
      </c>
      <c r="E36" s="199"/>
      <c r="F36" s="566">
        <f t="shared" ref="F36:K36" si="4">F33-F34</f>
        <v>0</v>
      </c>
      <c r="G36" s="566">
        <f t="shared" si="4"/>
        <v>0</v>
      </c>
      <c r="H36" s="566">
        <f t="shared" si="4"/>
        <v>0</v>
      </c>
      <c r="I36" s="566">
        <f t="shared" si="4"/>
        <v>0</v>
      </c>
      <c r="J36" s="566">
        <f t="shared" si="4"/>
        <v>0</v>
      </c>
      <c r="K36" s="566">
        <f t="shared" si="4"/>
        <v>0</v>
      </c>
      <c r="L36" s="199"/>
      <c r="M36" s="91"/>
    </row>
    <row r="37" spans="2:13" x14ac:dyDescent="0.2">
      <c r="B37" s="989"/>
      <c r="C37" s="516"/>
      <c r="D37" s="50"/>
      <c r="E37" s="38"/>
      <c r="F37" s="466"/>
      <c r="G37" s="466"/>
      <c r="H37" s="466"/>
      <c r="I37" s="466"/>
      <c r="J37" s="466"/>
      <c r="K37" s="466"/>
      <c r="L37" s="191"/>
      <c r="M37" s="78"/>
    </row>
    <row r="38" spans="2:13" x14ac:dyDescent="0.2">
      <c r="B38" s="989"/>
      <c r="C38" s="77"/>
      <c r="D38" s="64"/>
      <c r="E38" s="56"/>
      <c r="F38" s="460"/>
      <c r="G38" s="460"/>
      <c r="H38" s="460"/>
      <c r="I38" s="460"/>
      <c r="J38" s="460"/>
      <c r="K38" s="460"/>
      <c r="L38" s="77"/>
      <c r="M38" s="78"/>
    </row>
    <row r="39" spans="2:13" x14ac:dyDescent="0.2">
      <c r="B39" s="989"/>
      <c r="C39" s="516"/>
      <c r="D39" s="50"/>
      <c r="E39" s="38"/>
      <c r="F39" s="466"/>
      <c r="G39" s="466"/>
      <c r="H39" s="466"/>
      <c r="I39" s="466"/>
      <c r="J39" s="466"/>
      <c r="K39" s="466"/>
      <c r="L39" s="191"/>
      <c r="M39" s="78"/>
    </row>
    <row r="40" spans="2:13" s="114" customFormat="1" x14ac:dyDescent="0.2">
      <c r="B40" s="1070"/>
      <c r="C40" s="509"/>
      <c r="D40" s="618" t="s">
        <v>214</v>
      </c>
      <c r="E40" s="199"/>
      <c r="F40" s="566">
        <f t="shared" ref="F40:K40" si="5">F27+F36</f>
        <v>0</v>
      </c>
      <c r="G40" s="566">
        <f t="shared" si="5"/>
        <v>0</v>
      </c>
      <c r="H40" s="566">
        <f t="shared" si="5"/>
        <v>0</v>
      </c>
      <c r="I40" s="566">
        <f t="shared" si="5"/>
        <v>0</v>
      </c>
      <c r="J40" s="566">
        <f t="shared" si="5"/>
        <v>0</v>
      </c>
      <c r="K40" s="566">
        <f t="shared" si="5"/>
        <v>0</v>
      </c>
      <c r="L40" s="199"/>
      <c r="M40" s="91"/>
    </row>
    <row r="41" spans="2:13" x14ac:dyDescent="0.2">
      <c r="B41" s="989"/>
      <c r="C41" s="516"/>
      <c r="D41" s="635"/>
      <c r="E41" s="38"/>
      <c r="F41" s="466"/>
      <c r="G41" s="466"/>
      <c r="H41" s="466"/>
      <c r="I41" s="466"/>
      <c r="J41" s="466"/>
      <c r="K41" s="466"/>
      <c r="L41" s="191"/>
      <c r="M41" s="78"/>
    </row>
    <row r="42" spans="2:13" x14ac:dyDescent="0.2">
      <c r="B42" s="989"/>
      <c r="C42" s="77"/>
      <c r="D42" s="426"/>
      <c r="E42" s="77"/>
      <c r="F42" s="461"/>
      <c r="G42" s="461"/>
      <c r="H42" s="461"/>
      <c r="I42" s="461"/>
      <c r="J42" s="461"/>
      <c r="K42" s="461"/>
      <c r="L42" s="77"/>
      <c r="M42" s="78"/>
    </row>
    <row r="43" spans="2:13" x14ac:dyDescent="0.2">
      <c r="B43" s="989"/>
      <c r="C43" s="77"/>
      <c r="D43" s="426"/>
      <c r="E43" s="77"/>
      <c r="F43" s="1063"/>
      <c r="G43" s="1063"/>
      <c r="H43" s="1063"/>
      <c r="I43" s="1063"/>
      <c r="J43" s="1063"/>
      <c r="K43" s="1063"/>
      <c r="L43" s="971" t="s">
        <v>429</v>
      </c>
      <c r="M43" s="78"/>
    </row>
    <row r="44" spans="2:13" x14ac:dyDescent="0.2">
      <c r="B44" s="944"/>
      <c r="C44" s="1509"/>
      <c r="D44" s="1509"/>
      <c r="E44" s="1509"/>
      <c r="F44" s="1509"/>
      <c r="G44" s="1513"/>
      <c r="H44" s="1509"/>
      <c r="I44" s="1509"/>
      <c r="J44" s="1509"/>
      <c r="K44" s="1509"/>
      <c r="L44" s="1510"/>
      <c r="M44" s="945"/>
    </row>
    <row r="45" spans="2:13" x14ac:dyDescent="0.2">
      <c r="B45" s="944"/>
      <c r="C45" s="1511"/>
      <c r="D45" s="1511"/>
      <c r="E45" s="1511"/>
      <c r="F45" s="1511"/>
      <c r="G45" s="1514"/>
      <c r="H45" s="1511"/>
      <c r="I45" s="1511"/>
      <c r="J45" s="1511"/>
      <c r="K45" s="1511"/>
      <c r="L45" s="1512"/>
      <c r="M45" s="945"/>
    </row>
    <row r="46" spans="2:13" x14ac:dyDescent="0.2">
      <c r="B46" s="989"/>
      <c r="C46" s="77"/>
      <c r="D46" s="77"/>
      <c r="E46" s="77"/>
      <c r="F46" s="77"/>
      <c r="G46" s="77"/>
      <c r="H46" s="77"/>
      <c r="I46" s="77"/>
      <c r="J46" s="77"/>
      <c r="K46" s="77"/>
      <c r="L46" s="77"/>
      <c r="M46" s="78"/>
    </row>
    <row r="47" spans="2:13" x14ac:dyDescent="0.2">
      <c r="B47" s="989"/>
      <c r="C47" s="77"/>
      <c r="D47" s="77"/>
      <c r="E47" s="77"/>
      <c r="F47" s="77"/>
      <c r="G47" s="77"/>
      <c r="H47" s="77"/>
      <c r="I47" s="77"/>
      <c r="J47" s="77"/>
      <c r="K47" s="77"/>
      <c r="L47" s="77"/>
      <c r="M47" s="78"/>
    </row>
    <row r="48" spans="2:13" s="195" customFormat="1" ht="18.75" x14ac:dyDescent="0.3">
      <c r="B48" s="1515"/>
      <c r="C48" s="620" t="s">
        <v>65</v>
      </c>
      <c r="D48" s="176"/>
      <c r="E48" s="204"/>
      <c r="F48" s="451"/>
      <c r="G48" s="204"/>
      <c r="H48" s="204"/>
      <c r="I48" s="204"/>
      <c r="J48" s="204"/>
      <c r="K48" s="204"/>
      <c r="L48" s="204"/>
      <c r="M48" s="452"/>
    </row>
    <row r="49" spans="2:14" ht="18.75" x14ac:dyDescent="0.3">
      <c r="B49" s="989"/>
      <c r="C49" s="443" t="str">
        <f>'geg LO'!C5</f>
        <v xml:space="preserve">SWV VO </v>
      </c>
      <c r="D49" s="77"/>
      <c r="E49" s="77"/>
      <c r="F49" s="77"/>
      <c r="G49" s="77"/>
      <c r="H49" s="77"/>
      <c r="I49" s="77"/>
      <c r="J49" s="77"/>
      <c r="K49" s="77"/>
      <c r="L49" s="77"/>
      <c r="M49" s="78"/>
    </row>
    <row r="50" spans="2:14" x14ac:dyDescent="0.2">
      <c r="B50" s="989"/>
      <c r="C50" s="77"/>
      <c r="D50" s="77"/>
      <c r="E50" s="453"/>
      <c r="F50" s="54"/>
      <c r="G50" s="54"/>
      <c r="H50" s="54"/>
      <c r="I50" s="54"/>
      <c r="J50" s="54"/>
      <c r="K50" s="54"/>
      <c r="L50" s="454"/>
      <c r="M50" s="455"/>
      <c r="N50" s="448"/>
    </row>
    <row r="51" spans="2:14" x14ac:dyDescent="0.2">
      <c r="B51" s="989"/>
      <c r="C51" s="77"/>
      <c r="D51" s="77"/>
      <c r="E51" s="453"/>
      <c r="F51" s="54"/>
      <c r="G51" s="456"/>
      <c r="H51" s="54"/>
      <c r="I51" s="54"/>
      <c r="J51" s="54"/>
      <c r="K51" s="54"/>
      <c r="L51" s="454"/>
      <c r="M51" s="455"/>
      <c r="N51" s="448"/>
    </row>
    <row r="52" spans="2:14" s="212" customFormat="1" ht="15.75" x14ac:dyDescent="0.25">
      <c r="B52" s="1516"/>
      <c r="C52" s="216"/>
      <c r="D52" s="846" t="s">
        <v>145</v>
      </c>
      <c r="E52" s="457"/>
      <c r="F52" s="596" t="str">
        <f>'geg LO'!G15</f>
        <v>2015/16</v>
      </c>
      <c r="G52" s="596" t="str">
        <f>'geg LO'!H15</f>
        <v>2016/17</v>
      </c>
      <c r="H52" s="596" t="str">
        <f>'geg LO'!I15</f>
        <v>2017/18</v>
      </c>
      <c r="I52" s="596" t="str">
        <f>'geg LO'!J15</f>
        <v>2018/19</v>
      </c>
      <c r="J52" s="596" t="str">
        <f>'geg LO'!K15</f>
        <v>2019/20</v>
      </c>
      <c r="K52" s="596" t="str">
        <f>'geg LO'!L15</f>
        <v>2020/21</v>
      </c>
      <c r="L52" s="458"/>
      <c r="M52" s="459"/>
      <c r="N52" s="449"/>
    </row>
    <row r="53" spans="2:14" x14ac:dyDescent="0.2">
      <c r="B53" s="989"/>
      <c r="C53" s="77"/>
      <c r="D53" s="77"/>
      <c r="E53" s="453"/>
      <c r="F53" s="77"/>
      <c r="G53" s="77"/>
      <c r="H53" s="77"/>
      <c r="I53" s="77"/>
      <c r="J53" s="77"/>
      <c r="K53" s="77"/>
      <c r="L53" s="454"/>
      <c r="M53" s="455"/>
      <c r="N53" s="448"/>
    </row>
    <row r="54" spans="2:14" x14ac:dyDescent="0.2">
      <c r="B54" s="989"/>
      <c r="C54" s="516"/>
      <c r="D54" s="191"/>
      <c r="E54" s="464"/>
      <c r="F54" s="191"/>
      <c r="G54" s="191"/>
      <c r="H54" s="191"/>
      <c r="I54" s="191"/>
      <c r="J54" s="191"/>
      <c r="K54" s="191"/>
      <c r="L54" s="465"/>
      <c r="M54" s="455"/>
      <c r="N54" s="448"/>
    </row>
    <row r="55" spans="2:14" x14ac:dyDescent="0.2">
      <c r="B55" s="989"/>
      <c r="C55" s="516"/>
      <c r="D55" s="604" t="s">
        <v>288</v>
      </c>
      <c r="E55" s="464"/>
      <c r="F55" s="191"/>
      <c r="G55" s="191"/>
      <c r="H55" s="191"/>
      <c r="I55" s="191"/>
      <c r="J55" s="191"/>
      <c r="K55" s="191"/>
      <c r="L55" s="465"/>
      <c r="M55" s="455"/>
      <c r="N55" s="448"/>
    </row>
    <row r="56" spans="2:14" x14ac:dyDescent="0.2">
      <c r="B56" s="989"/>
      <c r="C56" s="516"/>
      <c r="D56" s="191"/>
      <c r="E56" s="464"/>
      <c r="F56" s="191"/>
      <c r="G56" s="191"/>
      <c r="H56" s="191"/>
      <c r="I56" s="191"/>
      <c r="J56" s="191"/>
      <c r="K56" s="191"/>
      <c r="L56" s="465"/>
      <c r="M56" s="455"/>
      <c r="N56" s="448"/>
    </row>
    <row r="57" spans="2:14" x14ac:dyDescent="0.2">
      <c r="B57" s="989"/>
      <c r="C57" s="516"/>
      <c r="D57" s="199" t="s">
        <v>262</v>
      </c>
      <c r="E57" s="464"/>
      <c r="F57" s="191"/>
      <c r="G57" s="191"/>
      <c r="H57" s="191"/>
      <c r="I57" s="191"/>
      <c r="J57" s="191"/>
      <c r="K57" s="191"/>
      <c r="L57" s="465"/>
      <c r="M57" s="455"/>
      <c r="N57" s="448"/>
    </row>
    <row r="58" spans="2:14" x14ac:dyDescent="0.2">
      <c r="B58" s="989"/>
      <c r="C58" s="516"/>
      <c r="D58" s="50" t="s">
        <v>116</v>
      </c>
      <c r="E58" s="191"/>
      <c r="F58" s="700">
        <f>+pers!H254+mat!J223</f>
        <v>0</v>
      </c>
      <c r="G58" s="700">
        <f>+pers!I254+mat!K223</f>
        <v>0</v>
      </c>
      <c r="H58" s="700">
        <f>+pers!J254+mat!L223</f>
        <v>0</v>
      </c>
      <c r="I58" s="700">
        <f>+pers!K254+mat!M223</f>
        <v>0</v>
      </c>
      <c r="J58" s="700">
        <f>+pers!L254+mat!N223</f>
        <v>0</v>
      </c>
      <c r="K58" s="700">
        <f>+pers!M254+mat!O223</f>
        <v>0</v>
      </c>
      <c r="L58" s="191"/>
      <c r="M58" s="78"/>
    </row>
    <row r="59" spans="2:14" ht="12" customHeight="1" x14ac:dyDescent="0.2">
      <c r="B59" s="989"/>
      <c r="C59" s="516"/>
      <c r="D59" s="50" t="s">
        <v>195</v>
      </c>
      <c r="E59" s="191"/>
      <c r="F59" s="701">
        <f>+pers!H255+mat!J224</f>
        <v>0</v>
      </c>
      <c r="G59" s="701">
        <f>+pers!I255+mat!K224</f>
        <v>0</v>
      </c>
      <c r="H59" s="701">
        <f>+pers!J255+mat!L224</f>
        <v>0</v>
      </c>
      <c r="I59" s="701">
        <f>+pers!K255+mat!M224</f>
        <v>0</v>
      </c>
      <c r="J59" s="701">
        <f>+pers!L255+mat!N224</f>
        <v>0</v>
      </c>
      <c r="K59" s="701">
        <f>+pers!M255+mat!O224</f>
        <v>0</v>
      </c>
      <c r="L59" s="191"/>
      <c r="M59" s="78"/>
    </row>
    <row r="60" spans="2:14" ht="12" hidden="1" customHeight="1" x14ac:dyDescent="0.2">
      <c r="B60" s="989"/>
      <c r="C60" s="516"/>
      <c r="D60" s="50" t="s">
        <v>208</v>
      </c>
      <c r="E60" s="191"/>
      <c r="F60" s="517">
        <v>0</v>
      </c>
      <c r="G60" s="517">
        <v>0</v>
      </c>
      <c r="H60" s="517">
        <v>0</v>
      </c>
      <c r="I60" s="517">
        <v>0</v>
      </c>
      <c r="J60" s="517">
        <v>0</v>
      </c>
      <c r="K60" s="517">
        <v>0</v>
      </c>
      <c r="L60" s="191"/>
      <c r="M60" s="78"/>
    </row>
    <row r="61" spans="2:14" ht="12" customHeight="1" x14ac:dyDescent="0.2">
      <c r="B61" s="989"/>
      <c r="C61" s="516"/>
      <c r="D61" s="50" t="s">
        <v>209</v>
      </c>
      <c r="E61" s="191"/>
      <c r="F61" s="702">
        <f>pers!H256+mat!J226</f>
        <v>0</v>
      </c>
      <c r="G61" s="702">
        <f>pers!I256+mat!K226</f>
        <v>0</v>
      </c>
      <c r="H61" s="702">
        <f>pers!J256+mat!L226</f>
        <v>0</v>
      </c>
      <c r="I61" s="702">
        <f>pers!K256+mat!M226</f>
        <v>0</v>
      </c>
      <c r="J61" s="702">
        <f>pers!L256+mat!N226</f>
        <v>0</v>
      </c>
      <c r="K61" s="702">
        <f>pers!M256+mat!O226</f>
        <v>0</v>
      </c>
      <c r="L61" s="191"/>
      <c r="M61" s="78"/>
    </row>
    <row r="62" spans="2:14" ht="12" customHeight="1" x14ac:dyDescent="0.2">
      <c r="B62" s="989"/>
      <c r="C62" s="516"/>
      <c r="D62" s="50" t="s">
        <v>118</v>
      </c>
      <c r="E62" s="191"/>
      <c r="F62" s="702">
        <f>pers!H257+mat!J227</f>
        <v>0</v>
      </c>
      <c r="G62" s="702">
        <f>pers!I257+mat!K227</f>
        <v>0</v>
      </c>
      <c r="H62" s="702">
        <f>pers!J257+mat!L227</f>
        <v>0</v>
      </c>
      <c r="I62" s="702">
        <f>pers!K257+mat!M227</f>
        <v>0</v>
      </c>
      <c r="J62" s="702">
        <f>pers!L257+mat!N227</f>
        <v>0</v>
      </c>
      <c r="K62" s="702">
        <f>pers!M257+mat!O227</f>
        <v>0</v>
      </c>
      <c r="L62" s="191"/>
      <c r="M62" s="78"/>
    </row>
    <row r="63" spans="2:14" x14ac:dyDescent="0.2">
      <c r="B63" s="989"/>
      <c r="C63" s="516"/>
      <c r="D63" s="447"/>
      <c r="E63" s="199"/>
      <c r="F63" s="566">
        <f t="shared" ref="F63:K63" si="6">SUM(F58:F62)</f>
        <v>0</v>
      </c>
      <c r="G63" s="566">
        <f t="shared" si="6"/>
        <v>0</v>
      </c>
      <c r="H63" s="566">
        <f t="shared" si="6"/>
        <v>0</v>
      </c>
      <c r="I63" s="566">
        <f t="shared" si="6"/>
        <v>0</v>
      </c>
      <c r="J63" s="566">
        <f t="shared" si="6"/>
        <v>0</v>
      </c>
      <c r="K63" s="566">
        <f t="shared" si="6"/>
        <v>0</v>
      </c>
      <c r="L63" s="191"/>
      <c r="M63" s="78"/>
    </row>
    <row r="64" spans="2:14" x14ac:dyDescent="0.2">
      <c r="B64" s="1517"/>
      <c r="C64" s="1508"/>
      <c r="D64" s="199" t="s">
        <v>210</v>
      </c>
      <c r="E64" s="199"/>
      <c r="F64" s="467"/>
      <c r="G64" s="467"/>
      <c r="H64" s="467"/>
      <c r="I64" s="467"/>
      <c r="J64" s="467"/>
      <c r="K64" s="467"/>
      <c r="L64" s="191"/>
      <c r="M64" s="78"/>
    </row>
    <row r="65" spans="2:13" x14ac:dyDescent="0.2">
      <c r="B65" s="989"/>
      <c r="C65" s="516"/>
      <c r="D65" s="468" t="s">
        <v>217</v>
      </c>
      <c r="E65" s="38"/>
      <c r="F65" s="564">
        <f>+pers!H276</f>
        <v>0</v>
      </c>
      <c r="G65" s="564">
        <f>+pers!I276</f>
        <v>0</v>
      </c>
      <c r="H65" s="564">
        <f>+pers!J276</f>
        <v>0</v>
      </c>
      <c r="I65" s="564">
        <f>+pers!K276</f>
        <v>0</v>
      </c>
      <c r="J65" s="564">
        <f>+pers!L276</f>
        <v>0</v>
      </c>
      <c r="K65" s="564">
        <f>+pers!M276</f>
        <v>0</v>
      </c>
      <c r="L65" s="191"/>
      <c r="M65" s="78"/>
    </row>
    <row r="66" spans="2:13" x14ac:dyDescent="0.2">
      <c r="B66" s="989"/>
      <c r="C66" s="516"/>
      <c r="D66" s="191" t="s">
        <v>119</v>
      </c>
      <c r="E66" s="191"/>
      <c r="F66" s="564">
        <f>+mat!J230</f>
        <v>0</v>
      </c>
      <c r="G66" s="564">
        <f>+mat!K230</f>
        <v>0</v>
      </c>
      <c r="H66" s="564">
        <f>+mat!L230</f>
        <v>0</v>
      </c>
      <c r="I66" s="564">
        <f>+mat!M230</f>
        <v>0</v>
      </c>
      <c r="J66" s="564">
        <f>+mat!N230</f>
        <v>0</v>
      </c>
      <c r="K66" s="564">
        <f>+mat!O230</f>
        <v>0</v>
      </c>
      <c r="L66" s="191"/>
      <c r="M66" s="78"/>
    </row>
    <row r="67" spans="2:13" x14ac:dyDescent="0.2">
      <c r="B67" s="989"/>
      <c r="C67" s="516"/>
      <c r="D67" s="191" t="s">
        <v>120</v>
      </c>
      <c r="E67" s="191"/>
      <c r="F67" s="564">
        <f>+mat!J231</f>
        <v>0</v>
      </c>
      <c r="G67" s="564">
        <f>+mat!K231</f>
        <v>0</v>
      </c>
      <c r="H67" s="564">
        <f>+mat!L231</f>
        <v>0</v>
      </c>
      <c r="I67" s="564">
        <f>+mat!M231</f>
        <v>0</v>
      </c>
      <c r="J67" s="564">
        <f>+mat!N231</f>
        <v>0</v>
      </c>
      <c r="K67" s="564">
        <f>+mat!O231</f>
        <v>0</v>
      </c>
      <c r="L67" s="191"/>
      <c r="M67" s="78"/>
    </row>
    <row r="68" spans="2:13" x14ac:dyDescent="0.2">
      <c r="B68" s="989"/>
      <c r="C68" s="516"/>
      <c r="D68" s="191" t="s">
        <v>211</v>
      </c>
      <c r="E68" s="191"/>
      <c r="F68" s="517">
        <f>+mat!J232</f>
        <v>0</v>
      </c>
      <c r="G68" s="517">
        <f>+mat!K232</f>
        <v>0</v>
      </c>
      <c r="H68" s="517">
        <f>+mat!L232</f>
        <v>0</v>
      </c>
      <c r="I68" s="517">
        <f>+mat!M232</f>
        <v>0</v>
      </c>
      <c r="J68" s="517">
        <f>+mat!N232</f>
        <v>0</v>
      </c>
      <c r="K68" s="517">
        <f>+mat!O232</f>
        <v>0</v>
      </c>
      <c r="L68" s="191"/>
      <c r="M68" s="78"/>
    </row>
    <row r="69" spans="2:13" x14ac:dyDescent="0.2">
      <c r="B69" s="989"/>
      <c r="C69" s="516"/>
      <c r="D69" s="447"/>
      <c r="E69" s="191"/>
      <c r="F69" s="566">
        <f t="shared" ref="F69:K69" si="7">SUM(F65:F68)</f>
        <v>0</v>
      </c>
      <c r="G69" s="566">
        <f t="shared" si="7"/>
        <v>0</v>
      </c>
      <c r="H69" s="566">
        <f t="shared" si="7"/>
        <v>0</v>
      </c>
      <c r="I69" s="566">
        <f t="shared" si="7"/>
        <v>0</v>
      </c>
      <c r="J69" s="566">
        <f t="shared" si="7"/>
        <v>0</v>
      </c>
      <c r="K69" s="566">
        <f t="shared" si="7"/>
        <v>0</v>
      </c>
      <c r="L69" s="191"/>
      <c r="M69" s="78"/>
    </row>
    <row r="70" spans="2:13" x14ac:dyDescent="0.2">
      <c r="B70" s="989"/>
      <c r="C70" s="516"/>
      <c r="D70" s="469"/>
      <c r="E70" s="38"/>
      <c r="F70" s="470"/>
      <c r="G70" s="470"/>
      <c r="H70" s="470"/>
      <c r="I70" s="470"/>
      <c r="J70" s="470"/>
      <c r="K70" s="470"/>
      <c r="L70" s="191"/>
      <c r="M70" s="78"/>
    </row>
    <row r="71" spans="2:13" x14ac:dyDescent="0.2">
      <c r="B71" s="1070"/>
      <c r="C71" s="509"/>
      <c r="D71" s="447" t="s">
        <v>212</v>
      </c>
      <c r="E71" s="38"/>
      <c r="F71" s="566">
        <f t="shared" ref="F71:K71" si="8">F63-F69</f>
        <v>0</v>
      </c>
      <c r="G71" s="566">
        <f t="shared" si="8"/>
        <v>0</v>
      </c>
      <c r="H71" s="566">
        <f t="shared" si="8"/>
        <v>0</v>
      </c>
      <c r="I71" s="566">
        <f t="shared" si="8"/>
        <v>0</v>
      </c>
      <c r="J71" s="566">
        <f t="shared" si="8"/>
        <v>0</v>
      </c>
      <c r="K71" s="566">
        <f t="shared" si="8"/>
        <v>0</v>
      </c>
      <c r="L71" s="191"/>
      <c r="M71" s="78"/>
    </row>
    <row r="72" spans="2:13" x14ac:dyDescent="0.2">
      <c r="B72" s="989"/>
      <c r="C72" s="516"/>
      <c r="D72" s="435"/>
      <c r="E72" s="38"/>
      <c r="F72" s="470"/>
      <c r="G72" s="470"/>
      <c r="H72" s="470"/>
      <c r="I72" s="470"/>
      <c r="J72" s="470"/>
      <c r="K72" s="470"/>
      <c r="L72" s="191"/>
      <c r="M72" s="78"/>
    </row>
    <row r="73" spans="2:13" x14ac:dyDescent="0.2">
      <c r="B73" s="989"/>
      <c r="C73" s="77"/>
      <c r="D73" s="64"/>
      <c r="E73" s="56"/>
      <c r="F73" s="460"/>
      <c r="G73" s="460"/>
      <c r="H73" s="460"/>
      <c r="I73" s="460"/>
      <c r="J73" s="460"/>
      <c r="K73" s="460"/>
      <c r="L73" s="77"/>
      <c r="M73" s="78"/>
    </row>
    <row r="74" spans="2:13" x14ac:dyDescent="0.2">
      <c r="B74" s="989"/>
      <c r="C74" s="516"/>
      <c r="D74" s="435"/>
      <c r="E74" s="38"/>
      <c r="F74" s="466"/>
      <c r="G74" s="466"/>
      <c r="H74" s="466"/>
      <c r="I74" s="466"/>
      <c r="J74" s="466"/>
      <c r="K74" s="466"/>
      <c r="L74" s="191"/>
      <c r="M74" s="78"/>
    </row>
    <row r="75" spans="2:13" x14ac:dyDescent="0.2">
      <c r="B75" s="989"/>
      <c r="C75" s="516"/>
      <c r="D75" s="618" t="s">
        <v>189</v>
      </c>
      <c r="E75" s="38"/>
      <c r="F75" s="466"/>
      <c r="G75" s="466"/>
      <c r="H75" s="466"/>
      <c r="I75" s="466"/>
      <c r="J75" s="466"/>
      <c r="K75" s="466"/>
      <c r="L75" s="191"/>
      <c r="M75" s="78"/>
    </row>
    <row r="76" spans="2:13" x14ac:dyDescent="0.2">
      <c r="B76" s="989"/>
      <c r="C76" s="516"/>
      <c r="D76" s="435"/>
      <c r="E76" s="38"/>
      <c r="F76" s="466"/>
      <c r="G76" s="466"/>
      <c r="H76" s="466"/>
      <c r="I76" s="466"/>
      <c r="J76" s="466"/>
      <c r="K76" s="466"/>
      <c r="L76" s="191"/>
      <c r="M76" s="78"/>
    </row>
    <row r="77" spans="2:13" x14ac:dyDescent="0.2">
      <c r="B77" s="989"/>
      <c r="C77" s="516"/>
      <c r="D77" s="50" t="s">
        <v>122</v>
      </c>
      <c r="E77" s="38"/>
      <c r="F77" s="875">
        <f t="shared" ref="F77" si="9">5/12*F33+0.583333333333333*G33</f>
        <v>0</v>
      </c>
      <c r="G77" s="875">
        <f t="shared" ref="G77:J78" si="10">5/12*G33+0.583333333333333*H33</f>
        <v>0</v>
      </c>
      <c r="H77" s="875">
        <f t="shared" si="10"/>
        <v>0</v>
      </c>
      <c r="I77" s="875">
        <f t="shared" si="10"/>
        <v>0</v>
      </c>
      <c r="J77" s="875">
        <f t="shared" si="10"/>
        <v>0</v>
      </c>
      <c r="K77" s="875">
        <f>K33</f>
        <v>0</v>
      </c>
      <c r="L77" s="191"/>
      <c r="M77" s="78"/>
    </row>
    <row r="78" spans="2:13" x14ac:dyDescent="0.2">
      <c r="B78" s="989"/>
      <c r="C78" s="516"/>
      <c r="D78" s="50" t="s">
        <v>123</v>
      </c>
      <c r="E78" s="38"/>
      <c r="F78" s="875">
        <f t="shared" ref="F78" si="11">5/12*F34+0.583333333333333*G34</f>
        <v>0</v>
      </c>
      <c r="G78" s="875">
        <f t="shared" si="10"/>
        <v>0</v>
      </c>
      <c r="H78" s="875">
        <f t="shared" si="10"/>
        <v>0</v>
      </c>
      <c r="I78" s="875">
        <f t="shared" si="10"/>
        <v>0</v>
      </c>
      <c r="J78" s="875">
        <f t="shared" si="10"/>
        <v>0</v>
      </c>
      <c r="K78" s="875">
        <f>K34</f>
        <v>0</v>
      </c>
      <c r="L78" s="191"/>
      <c r="M78" s="78"/>
    </row>
    <row r="79" spans="2:13" x14ac:dyDescent="0.2">
      <c r="B79" s="989"/>
      <c r="C79" s="516"/>
      <c r="D79" s="50"/>
      <c r="E79" s="38"/>
      <c r="F79" s="466"/>
      <c r="G79" s="466"/>
      <c r="H79" s="466"/>
      <c r="I79" s="466"/>
      <c r="J79" s="466"/>
      <c r="K79" s="466"/>
      <c r="L79" s="191"/>
      <c r="M79" s="78"/>
    </row>
    <row r="80" spans="2:13" s="114" customFormat="1" x14ac:dyDescent="0.2">
      <c r="B80" s="1070"/>
      <c r="C80" s="509"/>
      <c r="D80" s="447" t="s">
        <v>213</v>
      </c>
      <c r="E80" s="199"/>
      <c r="F80" s="566">
        <f t="shared" ref="F80:K80" si="12">F77-F78</f>
        <v>0</v>
      </c>
      <c r="G80" s="566">
        <f t="shared" si="12"/>
        <v>0</v>
      </c>
      <c r="H80" s="566">
        <f t="shared" si="12"/>
        <v>0</v>
      </c>
      <c r="I80" s="566">
        <f t="shared" si="12"/>
        <v>0</v>
      </c>
      <c r="J80" s="566">
        <f t="shared" si="12"/>
        <v>0</v>
      </c>
      <c r="K80" s="566">
        <f t="shared" si="12"/>
        <v>0</v>
      </c>
      <c r="L80" s="199"/>
      <c r="M80" s="91"/>
    </row>
    <row r="81" spans="2:13" x14ac:dyDescent="0.2">
      <c r="B81" s="989"/>
      <c r="C81" s="516"/>
      <c r="D81" s="50"/>
      <c r="E81" s="38"/>
      <c r="F81" s="466"/>
      <c r="G81" s="466"/>
      <c r="H81" s="466"/>
      <c r="I81" s="466"/>
      <c r="J81" s="466"/>
      <c r="K81" s="466"/>
      <c r="L81" s="191"/>
      <c r="M81" s="78"/>
    </row>
    <row r="82" spans="2:13" x14ac:dyDescent="0.2">
      <c r="B82" s="989"/>
      <c r="C82" s="77"/>
      <c r="D82" s="64"/>
      <c r="E82" s="56"/>
      <c r="F82" s="460"/>
      <c r="G82" s="460"/>
      <c r="H82" s="460"/>
      <c r="I82" s="460"/>
      <c r="J82" s="460"/>
      <c r="K82" s="460"/>
      <c r="L82" s="77"/>
      <c r="M82" s="78"/>
    </row>
    <row r="83" spans="2:13" x14ac:dyDescent="0.2">
      <c r="B83" s="989"/>
      <c r="C83" s="516"/>
      <c r="D83" s="50"/>
      <c r="E83" s="38"/>
      <c r="F83" s="466"/>
      <c r="G83" s="466"/>
      <c r="H83" s="466"/>
      <c r="I83" s="466"/>
      <c r="J83" s="466"/>
      <c r="K83" s="466"/>
      <c r="L83" s="191"/>
      <c r="M83" s="78"/>
    </row>
    <row r="84" spans="2:13" s="114" customFormat="1" x14ac:dyDescent="0.2">
      <c r="B84" s="1070"/>
      <c r="C84" s="509"/>
      <c r="D84" s="618" t="s">
        <v>214</v>
      </c>
      <c r="E84" s="199"/>
      <c r="F84" s="566">
        <f t="shared" ref="F84:K84" si="13">F71+F80</f>
        <v>0</v>
      </c>
      <c r="G84" s="566">
        <f t="shared" si="13"/>
        <v>0</v>
      </c>
      <c r="H84" s="566">
        <f t="shared" si="13"/>
        <v>0</v>
      </c>
      <c r="I84" s="566">
        <f t="shared" si="13"/>
        <v>0</v>
      </c>
      <c r="J84" s="566">
        <f t="shared" si="13"/>
        <v>0</v>
      </c>
      <c r="K84" s="566">
        <f t="shared" si="13"/>
        <v>0</v>
      </c>
      <c r="L84" s="199"/>
      <c r="M84" s="91"/>
    </row>
    <row r="85" spans="2:13" x14ac:dyDescent="0.2">
      <c r="B85" s="989"/>
      <c r="C85" s="516"/>
      <c r="D85" s="635"/>
      <c r="E85" s="38"/>
      <c r="F85" s="466"/>
      <c r="G85" s="466"/>
      <c r="H85" s="466"/>
      <c r="I85" s="466"/>
      <c r="J85" s="466"/>
      <c r="K85" s="466"/>
      <c r="L85" s="191"/>
      <c r="M85" s="78"/>
    </row>
    <row r="86" spans="2:13" x14ac:dyDescent="0.2">
      <c r="B86" s="989"/>
      <c r="C86" s="77"/>
      <c r="D86" s="426"/>
      <c r="E86" s="77"/>
      <c r="F86" s="461"/>
      <c r="G86" s="461"/>
      <c r="H86" s="461"/>
      <c r="I86" s="461"/>
      <c r="J86" s="461"/>
      <c r="K86" s="461"/>
      <c r="L86" s="77"/>
      <c r="M86" s="78"/>
    </row>
    <row r="87" spans="2:13" x14ac:dyDescent="0.2">
      <c r="B87" s="1518"/>
      <c r="C87" s="1502"/>
      <c r="D87" s="462"/>
      <c r="E87" s="83"/>
      <c r="F87" s="463"/>
      <c r="G87" s="463"/>
      <c r="H87" s="463"/>
      <c r="I87" s="463"/>
      <c r="J87" s="463"/>
      <c r="K87" s="463"/>
      <c r="L87" s="654" t="s">
        <v>429</v>
      </c>
      <c r="M87" s="85"/>
    </row>
    <row r="88" spans="2:13" x14ac:dyDescent="0.2">
      <c r="G88" s="450"/>
    </row>
    <row r="89" spans="2:13" x14ac:dyDescent="0.2">
      <c r="G89" s="450"/>
    </row>
    <row r="90" spans="2:13" x14ac:dyDescent="0.2">
      <c r="G90" s="450"/>
    </row>
    <row r="91" spans="2:13" x14ac:dyDescent="0.2">
      <c r="G91" s="450"/>
    </row>
    <row r="92" spans="2:13" x14ac:dyDescent="0.2">
      <c r="G92" s="450"/>
    </row>
    <row r="93" spans="2:13" x14ac:dyDescent="0.2">
      <c r="F93" s="1020"/>
      <c r="G93" s="1020"/>
      <c r="H93" s="1020"/>
      <c r="I93" s="1020"/>
      <c r="J93" s="1020"/>
      <c r="K93" s="1020"/>
    </row>
    <row r="94" spans="2:13" x14ac:dyDescent="0.2">
      <c r="F94" s="1020"/>
      <c r="G94" s="1020"/>
      <c r="H94" s="1020"/>
      <c r="I94" s="1020"/>
      <c r="J94" s="1020"/>
      <c r="K94" s="1020"/>
    </row>
    <row r="95" spans="2:13" x14ac:dyDescent="0.2">
      <c r="F95" s="1020"/>
      <c r="G95" s="1020"/>
      <c r="H95" s="1020"/>
      <c r="I95" s="1020"/>
      <c r="J95" s="1020"/>
      <c r="K95" s="1020"/>
    </row>
    <row r="96" spans="2:13" x14ac:dyDescent="0.2">
      <c r="F96" s="1020"/>
      <c r="G96" s="1020"/>
      <c r="H96" s="1020"/>
      <c r="I96" s="1020"/>
      <c r="J96" s="1020"/>
      <c r="K96" s="1020"/>
    </row>
    <row r="97" spans="6:11" x14ac:dyDescent="0.2">
      <c r="F97" s="1020"/>
      <c r="G97" s="1020"/>
      <c r="H97" s="1020"/>
      <c r="I97" s="1020"/>
      <c r="J97" s="1020"/>
      <c r="K97" s="1020"/>
    </row>
    <row r="98" spans="6:11" x14ac:dyDescent="0.2">
      <c r="G98" s="450"/>
    </row>
    <row r="99" spans="6:11" x14ac:dyDescent="0.2">
      <c r="F99" s="1022"/>
      <c r="G99" s="1022"/>
      <c r="H99" s="1022"/>
      <c r="I99" s="1022"/>
      <c r="J99" s="1022"/>
      <c r="K99" s="1022"/>
    </row>
    <row r="100" spans="6:11" x14ac:dyDescent="0.2">
      <c r="F100" s="1022"/>
      <c r="G100" s="1022"/>
      <c r="H100" s="1022"/>
      <c r="I100" s="1022"/>
      <c r="J100" s="1022"/>
      <c r="K100" s="1022"/>
    </row>
    <row r="101" spans="6:11" x14ac:dyDescent="0.2">
      <c r="F101" s="1022"/>
      <c r="G101" s="1022"/>
      <c r="H101" s="1022"/>
      <c r="I101" s="1022"/>
      <c r="J101" s="1022"/>
      <c r="K101" s="1022"/>
    </row>
    <row r="102" spans="6:11" x14ac:dyDescent="0.2">
      <c r="F102" s="1022"/>
      <c r="G102" s="1022"/>
      <c r="H102" s="1022"/>
      <c r="I102" s="1022"/>
      <c r="J102" s="1022"/>
      <c r="K102" s="1022"/>
    </row>
    <row r="103" spans="6:11" x14ac:dyDescent="0.2">
      <c r="F103" s="1022"/>
      <c r="G103" s="1022"/>
      <c r="H103" s="1022"/>
      <c r="I103" s="1022"/>
      <c r="J103" s="1022"/>
      <c r="K103" s="1022"/>
    </row>
    <row r="104" spans="6:11" x14ac:dyDescent="0.2">
      <c r="G104" s="450"/>
    </row>
    <row r="105" spans="6:11" x14ac:dyDescent="0.2">
      <c r="F105" s="1022"/>
      <c r="G105" s="1022"/>
      <c r="H105" s="1022"/>
      <c r="I105" s="1022"/>
      <c r="J105" s="1022"/>
      <c r="K105" s="1022"/>
    </row>
    <row r="106" spans="6:11" x14ac:dyDescent="0.2">
      <c r="G106" s="450"/>
    </row>
    <row r="107" spans="6:11" x14ac:dyDescent="0.2">
      <c r="G107" s="450"/>
    </row>
    <row r="108" spans="6:11" x14ac:dyDescent="0.2">
      <c r="G108" s="450"/>
    </row>
    <row r="109" spans="6:11" x14ac:dyDescent="0.2">
      <c r="G109" s="450"/>
    </row>
    <row r="110" spans="6:11" x14ac:dyDescent="0.2">
      <c r="G110" s="450"/>
    </row>
    <row r="111" spans="6:11" x14ac:dyDescent="0.2">
      <c r="G111" s="450"/>
    </row>
    <row r="112" spans="6:11" x14ac:dyDescent="0.2">
      <c r="G112" s="450"/>
    </row>
    <row r="113" spans="7:7" x14ac:dyDescent="0.2">
      <c r="G113" s="450"/>
    </row>
  </sheetData>
  <sheetProtection algorithmName="SHA-512" hashValue="+Vw9G9oiu5SHtDbnlOARS7z4D9wNI5SjoxbinYJyC4V9tE/7e1wGjhOtfJYYDO22c1E5QEQXmx1mrfdeLFdqzQ==" saltValue="vjMxVQia1/6K0SvoHuvoxw==" spinCount="100000" sheet="1" objects="1" scenarios="1"/>
  <phoneticPr fontId="0" type="noConversion"/>
  <hyperlinks>
    <hyperlink ref="L43" r:id="rId1"/>
    <hyperlink ref="L87" r:id="rId2"/>
  </hyperlinks>
  <pageMargins left="0.74803149606299213" right="0.74803149606299213" top="0.98425196850393704" bottom="0.98425196850393704" header="0.51181102362204722" footer="0.51181102362204722"/>
  <pageSetup paperSize="9" scale="48" orientation="portrait" r:id="rId3"/>
  <headerFooter alignWithMargins="0">
    <oddHeader>&amp;L&amp;"Arial,Vet"&amp;9&amp;F&amp;R&amp;"Arial,Vet"&amp;9&amp;A</oddHeader>
    <oddFooter>&amp;L&amp;"Arial,Vet"&amp;9be.keizer@wxs.nl&amp;C&amp;"Arial,Vet"&amp;9pagina &amp;P&amp;R&amp;"Arial,Vet"&amp;9&amp;D</oddFooter>
  </headerFooter>
  <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X140"/>
  <sheetViews>
    <sheetView zoomScale="80" zoomScaleNormal="80" zoomScalePageLayoutView="90" workbookViewId="0">
      <selection activeCell="B2" sqref="B2"/>
    </sheetView>
  </sheetViews>
  <sheetFormatPr defaultRowHeight="12.75" x14ac:dyDescent="0.2"/>
  <cols>
    <col min="1" max="1" width="3.7109375" style="110" customWidth="1"/>
    <col min="2" max="3" width="2.7109375" style="110" customWidth="1"/>
    <col min="4" max="4" width="35.5703125" style="110" customWidth="1"/>
    <col min="5" max="5" width="10.7109375" style="110" customWidth="1"/>
    <col min="6" max="6" width="2.7109375" style="110" customWidth="1"/>
    <col min="7" max="7" width="16.5703125" style="110" hidden="1" customWidth="1"/>
    <col min="8" max="8" width="16.7109375" style="110" customWidth="1"/>
    <col min="9" max="14" width="16.5703125" style="113" customWidth="1"/>
    <col min="15" max="15" width="2.7109375" style="113" customWidth="1"/>
    <col min="16" max="16" width="2.7109375" style="110" customWidth="1"/>
    <col min="17" max="17" width="11.42578125" style="420" customWidth="1"/>
    <col min="18" max="18" width="33.7109375" style="110" customWidth="1"/>
    <col min="19" max="19" width="2.5703125" style="110" customWidth="1"/>
    <col min="20" max="24" width="10.7109375" style="110" customWidth="1"/>
    <col min="25" max="25" width="2.7109375" style="110" customWidth="1"/>
    <col min="26" max="16384" width="9.140625" style="110"/>
  </cols>
  <sheetData>
    <row r="2" spans="2:20" x14ac:dyDescent="0.2">
      <c r="B2" s="72"/>
      <c r="C2" s="73"/>
      <c r="D2" s="73"/>
      <c r="E2" s="73"/>
      <c r="F2" s="73"/>
      <c r="G2" s="73"/>
      <c r="H2" s="73"/>
      <c r="I2" s="74"/>
      <c r="J2" s="74"/>
      <c r="K2" s="74"/>
      <c r="L2" s="74"/>
      <c r="M2" s="74"/>
      <c r="N2" s="74"/>
      <c r="O2" s="74"/>
      <c r="P2" s="75"/>
    </row>
    <row r="3" spans="2:20" x14ac:dyDescent="0.2">
      <c r="B3" s="76"/>
      <c r="C3" s="77"/>
      <c r="D3" s="77"/>
      <c r="E3" s="77"/>
      <c r="F3" s="77"/>
      <c r="G3" s="77"/>
      <c r="H3" s="77"/>
      <c r="I3" s="70"/>
      <c r="J3" s="70"/>
      <c r="K3" s="70"/>
      <c r="L3" s="70"/>
      <c r="M3" s="70"/>
      <c r="N3" s="70"/>
      <c r="O3" s="70"/>
      <c r="P3" s="78"/>
    </row>
    <row r="4" spans="2:20" s="195" customFormat="1" ht="18.75" x14ac:dyDescent="0.3">
      <c r="B4" s="477"/>
      <c r="C4" s="620" t="s">
        <v>70</v>
      </c>
      <c r="D4" s="204"/>
      <c r="E4" s="204"/>
      <c r="F4" s="204"/>
      <c r="G4" s="204"/>
      <c r="H4" s="204"/>
      <c r="I4" s="223"/>
      <c r="J4" s="223"/>
      <c r="K4" s="223"/>
      <c r="L4" s="478"/>
      <c r="M4" s="478"/>
      <c r="N4" s="478"/>
      <c r="O4" s="223"/>
      <c r="P4" s="452"/>
      <c r="Q4" s="471"/>
    </row>
    <row r="5" spans="2:20" ht="18.75" x14ac:dyDescent="0.3">
      <c r="B5" s="479"/>
      <c r="C5" s="443" t="str">
        <f>'geg LO'!C5</f>
        <v xml:space="preserve">SWV VO </v>
      </c>
      <c r="D5" s="77"/>
      <c r="E5" s="77"/>
      <c r="F5" s="77"/>
      <c r="G5" s="77"/>
      <c r="H5" s="77"/>
      <c r="I5" s="70"/>
      <c r="J5" s="70"/>
      <c r="K5" s="70"/>
      <c r="L5" s="126"/>
      <c r="M5" s="126"/>
      <c r="N5" s="126"/>
      <c r="O5" s="70"/>
      <c r="P5" s="78"/>
    </row>
    <row r="6" spans="2:20" x14ac:dyDescent="0.2">
      <c r="B6" s="29"/>
      <c r="C6" s="480"/>
      <c r="D6" s="77"/>
      <c r="E6" s="77"/>
      <c r="F6" s="77"/>
      <c r="G6" s="77"/>
      <c r="H6" s="77"/>
      <c r="I6" s="70"/>
      <c r="J6" s="70"/>
      <c r="K6" s="70"/>
      <c r="L6" s="70"/>
      <c r="M6" s="70"/>
      <c r="N6" s="70"/>
      <c r="O6" s="70"/>
      <c r="P6" s="78"/>
    </row>
    <row r="7" spans="2:20" x14ac:dyDescent="0.2">
      <c r="B7" s="29"/>
      <c r="C7" s="480"/>
      <c r="D7" s="77"/>
      <c r="E7" s="77"/>
      <c r="F7" s="77"/>
      <c r="G7" s="77"/>
      <c r="H7" s="77"/>
      <c r="I7" s="70"/>
      <c r="J7" s="481"/>
      <c r="K7" s="70"/>
      <c r="L7" s="70"/>
      <c r="M7" s="70"/>
      <c r="N7" s="70"/>
      <c r="O7" s="70"/>
      <c r="P7" s="78"/>
    </row>
    <row r="8" spans="2:20" s="212" customFormat="1" x14ac:dyDescent="0.2">
      <c r="B8" s="482"/>
      <c r="C8" s="483"/>
      <c r="D8" s="484"/>
      <c r="E8" s="484"/>
      <c r="F8" s="216"/>
      <c r="G8" s="616">
        <f>tab!C4</f>
        <v>0</v>
      </c>
      <c r="H8" s="616">
        <f>tab!D4</f>
        <v>2014</v>
      </c>
      <c r="I8" s="616">
        <f>tab!E4</f>
        <v>2015</v>
      </c>
      <c r="J8" s="616">
        <f>tab!F4</f>
        <v>2016</v>
      </c>
      <c r="K8" s="616">
        <f>tab!G4</f>
        <v>2017</v>
      </c>
      <c r="L8" s="616">
        <f>tab!H4</f>
        <v>2018</v>
      </c>
      <c r="M8" s="616">
        <f>tab!I4</f>
        <v>2019</v>
      </c>
      <c r="N8" s="616">
        <f>tab!J4</f>
        <v>2020</v>
      </c>
      <c r="O8" s="485"/>
      <c r="P8" s="217"/>
      <c r="Q8" s="472"/>
    </row>
    <row r="9" spans="2:20" x14ac:dyDescent="0.2">
      <c r="B9" s="80"/>
      <c r="C9" s="57"/>
      <c r="D9" s="56"/>
      <c r="E9" s="56"/>
      <c r="F9" s="77"/>
      <c r="G9" s="77"/>
      <c r="H9" s="77"/>
      <c r="I9" s="54"/>
      <c r="J9" s="54"/>
      <c r="K9" s="54"/>
      <c r="L9" s="54"/>
      <c r="M9" s="54"/>
      <c r="N9" s="54"/>
      <c r="O9" s="54"/>
      <c r="P9" s="78"/>
    </row>
    <row r="10" spans="2:20" x14ac:dyDescent="0.2">
      <c r="B10" s="80"/>
      <c r="C10" s="199"/>
      <c r="D10" s="38"/>
      <c r="E10" s="38"/>
      <c r="F10" s="191"/>
      <c r="G10" s="191"/>
      <c r="H10" s="191"/>
      <c r="I10" s="66"/>
      <c r="J10" s="66"/>
      <c r="K10" s="66"/>
      <c r="L10" s="66"/>
      <c r="M10" s="66"/>
      <c r="N10" s="66"/>
      <c r="O10" s="66"/>
      <c r="P10" s="78"/>
    </row>
    <row r="11" spans="2:20" x14ac:dyDescent="0.2">
      <c r="B11" s="76"/>
      <c r="C11" s="191"/>
      <c r="D11" s="604" t="s">
        <v>190</v>
      </c>
      <c r="E11" s="189"/>
      <c r="F11" s="191"/>
      <c r="G11" s="191"/>
      <c r="H11" s="191"/>
      <c r="I11" s="66"/>
      <c r="J11" s="66"/>
      <c r="K11" s="66"/>
      <c r="L11" s="66"/>
      <c r="M11" s="66"/>
      <c r="N11" s="66"/>
      <c r="O11" s="66"/>
      <c r="P11" s="78"/>
    </row>
    <row r="12" spans="2:20" x14ac:dyDescent="0.2">
      <c r="B12" s="76"/>
      <c r="C12" s="191"/>
      <c r="D12" s="191"/>
      <c r="E12" s="191"/>
      <c r="F12" s="191"/>
      <c r="G12" s="191"/>
      <c r="H12" s="191"/>
      <c r="I12" s="191"/>
      <c r="J12" s="191"/>
      <c r="K12" s="191"/>
      <c r="L12" s="191"/>
      <c r="M12" s="191"/>
      <c r="N12" s="191"/>
      <c r="O12" s="191"/>
      <c r="P12" s="134"/>
      <c r="Q12" s="473"/>
      <c r="R12" s="113"/>
      <c r="S12" s="113"/>
      <c r="T12" s="113"/>
    </row>
    <row r="13" spans="2:20" x14ac:dyDescent="0.2">
      <c r="B13" s="76"/>
      <c r="C13" s="191"/>
      <c r="D13" s="604" t="s">
        <v>124</v>
      </c>
      <c r="E13" s="189"/>
      <c r="F13" s="191"/>
      <c r="G13" s="191"/>
      <c r="H13" s="191"/>
      <c r="I13" s="191"/>
      <c r="J13" s="191"/>
      <c r="K13" s="191"/>
      <c r="L13" s="191"/>
      <c r="M13" s="191"/>
      <c r="N13" s="191"/>
      <c r="O13" s="191"/>
      <c r="P13" s="78"/>
    </row>
    <row r="14" spans="2:20" x14ac:dyDescent="0.2">
      <c r="B14" s="76"/>
      <c r="C14" s="191"/>
      <c r="D14" s="191" t="s">
        <v>291</v>
      </c>
      <c r="E14" s="191"/>
      <c r="F14" s="191"/>
      <c r="G14" s="67">
        <v>0</v>
      </c>
      <c r="H14" s="67">
        <v>0</v>
      </c>
      <c r="I14" s="67">
        <f t="shared" ref="I14:N14" si="0">+H14</f>
        <v>0</v>
      </c>
      <c r="J14" s="67">
        <f t="shared" si="0"/>
        <v>0</v>
      </c>
      <c r="K14" s="67">
        <f t="shared" si="0"/>
        <v>0</v>
      </c>
      <c r="L14" s="67">
        <f t="shared" si="0"/>
        <v>0</v>
      </c>
      <c r="M14" s="67">
        <f t="shared" si="0"/>
        <v>0</v>
      </c>
      <c r="N14" s="67">
        <f t="shared" si="0"/>
        <v>0</v>
      </c>
      <c r="O14" s="71"/>
      <c r="P14" s="78"/>
    </row>
    <row r="15" spans="2:20" x14ac:dyDescent="0.2">
      <c r="B15" s="76"/>
      <c r="C15" s="191"/>
      <c r="D15" s="191" t="s">
        <v>292</v>
      </c>
      <c r="E15" s="191"/>
      <c r="F15" s="191"/>
      <c r="G15" s="548">
        <v>0</v>
      </c>
      <c r="H15" s="548">
        <f>+act!F43</f>
        <v>0</v>
      </c>
      <c r="I15" s="548">
        <f>+act!G43</f>
        <v>0</v>
      </c>
      <c r="J15" s="548">
        <f>+act!H43</f>
        <v>0</v>
      </c>
      <c r="K15" s="548">
        <f>+act!I43</f>
        <v>0</v>
      </c>
      <c r="L15" s="548">
        <f>+act!J43</f>
        <v>0</v>
      </c>
      <c r="M15" s="548">
        <f>+act!K43</f>
        <v>0</v>
      </c>
      <c r="N15" s="548">
        <f>+act!L43</f>
        <v>0</v>
      </c>
      <c r="O15" s="222"/>
      <c r="P15" s="78"/>
    </row>
    <row r="16" spans="2:20" x14ac:dyDescent="0.2">
      <c r="B16" s="76"/>
      <c r="C16" s="191"/>
      <c r="D16" s="191" t="s">
        <v>293</v>
      </c>
      <c r="E16" s="191"/>
      <c r="F16" s="191"/>
      <c r="G16" s="67">
        <v>0</v>
      </c>
      <c r="H16" s="67">
        <v>0</v>
      </c>
      <c r="I16" s="67">
        <f t="shared" ref="I16:N16" si="1">+H16</f>
        <v>0</v>
      </c>
      <c r="J16" s="67">
        <f t="shared" si="1"/>
        <v>0</v>
      </c>
      <c r="K16" s="67">
        <f t="shared" si="1"/>
        <v>0</v>
      </c>
      <c r="L16" s="67">
        <f t="shared" si="1"/>
        <v>0</v>
      </c>
      <c r="M16" s="67">
        <f t="shared" si="1"/>
        <v>0</v>
      </c>
      <c r="N16" s="67">
        <f t="shared" si="1"/>
        <v>0</v>
      </c>
      <c r="O16" s="222"/>
      <c r="P16" s="78"/>
    </row>
    <row r="17" spans="2:24" x14ac:dyDescent="0.2">
      <c r="B17" s="76"/>
      <c r="C17" s="191"/>
      <c r="D17" s="447"/>
      <c r="E17" s="447"/>
      <c r="F17" s="191"/>
      <c r="G17" s="567">
        <f t="shared" ref="G17:N17" si="2">SUM(G14:G16)</f>
        <v>0</v>
      </c>
      <c r="H17" s="567">
        <f t="shared" si="2"/>
        <v>0</v>
      </c>
      <c r="I17" s="567">
        <f t="shared" si="2"/>
        <v>0</v>
      </c>
      <c r="J17" s="567">
        <f t="shared" si="2"/>
        <v>0</v>
      </c>
      <c r="K17" s="567">
        <f t="shared" si="2"/>
        <v>0</v>
      </c>
      <c r="L17" s="567">
        <f t="shared" si="2"/>
        <v>0</v>
      </c>
      <c r="M17" s="567">
        <f t="shared" si="2"/>
        <v>0</v>
      </c>
      <c r="N17" s="567">
        <f t="shared" si="2"/>
        <v>0</v>
      </c>
      <c r="O17" s="418"/>
      <c r="P17" s="78"/>
    </row>
    <row r="18" spans="2:24" x14ac:dyDescent="0.2">
      <c r="B18" s="76"/>
      <c r="C18" s="191"/>
      <c r="D18" s="604" t="s">
        <v>129</v>
      </c>
      <c r="E18" s="189"/>
      <c r="F18" s="191"/>
      <c r="G18" s="191"/>
      <c r="H18" s="191"/>
      <c r="I18" s="222"/>
      <c r="J18" s="222"/>
      <c r="K18" s="222"/>
      <c r="L18" s="222"/>
      <c r="M18" s="222"/>
      <c r="N18" s="222"/>
      <c r="O18" s="222"/>
      <c r="P18" s="78"/>
    </row>
    <row r="19" spans="2:24" x14ac:dyDescent="0.2">
      <c r="B19" s="76"/>
      <c r="C19" s="191"/>
      <c r="D19" s="191" t="s">
        <v>294</v>
      </c>
      <c r="E19" s="191"/>
      <c r="F19" s="191"/>
      <c r="G19" s="67">
        <v>0</v>
      </c>
      <c r="H19" s="67">
        <v>0</v>
      </c>
      <c r="I19" s="67">
        <f t="shared" ref="I19:N19" si="3">+H19</f>
        <v>0</v>
      </c>
      <c r="J19" s="67">
        <f t="shared" si="3"/>
        <v>0</v>
      </c>
      <c r="K19" s="67">
        <f t="shared" si="3"/>
        <v>0</v>
      </c>
      <c r="L19" s="67">
        <f t="shared" si="3"/>
        <v>0</v>
      </c>
      <c r="M19" s="67">
        <f t="shared" si="3"/>
        <v>0</v>
      </c>
      <c r="N19" s="67">
        <f t="shared" si="3"/>
        <v>0</v>
      </c>
      <c r="O19" s="222"/>
      <c r="P19" s="78"/>
    </row>
    <row r="20" spans="2:24" x14ac:dyDescent="0.2">
      <c r="B20" s="76"/>
      <c r="C20" s="191"/>
      <c r="D20" s="191" t="s">
        <v>295</v>
      </c>
      <c r="E20" s="191"/>
      <c r="F20" s="191"/>
      <c r="G20" s="67">
        <v>0</v>
      </c>
      <c r="H20" s="67">
        <v>0</v>
      </c>
      <c r="I20" s="67">
        <f t="shared" ref="I20:N21" si="4">+H20</f>
        <v>0</v>
      </c>
      <c r="J20" s="67">
        <f t="shared" si="4"/>
        <v>0</v>
      </c>
      <c r="K20" s="67">
        <f t="shared" si="4"/>
        <v>0</v>
      </c>
      <c r="L20" s="67">
        <f t="shared" si="4"/>
        <v>0</v>
      </c>
      <c r="M20" s="67">
        <f t="shared" si="4"/>
        <v>0</v>
      </c>
      <c r="N20" s="67">
        <f t="shared" si="4"/>
        <v>0</v>
      </c>
      <c r="O20" s="222"/>
      <c r="P20" s="78"/>
    </row>
    <row r="21" spans="2:24" x14ac:dyDescent="0.2">
      <c r="B21" s="76"/>
      <c r="C21" s="191"/>
      <c r="D21" s="191" t="s">
        <v>296</v>
      </c>
      <c r="E21" s="191"/>
      <c r="F21" s="191"/>
      <c r="G21" s="67">
        <v>0</v>
      </c>
      <c r="H21" s="67">
        <v>0</v>
      </c>
      <c r="I21" s="67">
        <f t="shared" si="4"/>
        <v>0</v>
      </c>
      <c r="J21" s="67">
        <f t="shared" si="4"/>
        <v>0</v>
      </c>
      <c r="K21" s="67">
        <f t="shared" si="4"/>
        <v>0</v>
      </c>
      <c r="L21" s="67">
        <f t="shared" si="4"/>
        <v>0</v>
      </c>
      <c r="M21" s="67">
        <f t="shared" si="4"/>
        <v>0</v>
      </c>
      <c r="N21" s="67">
        <f t="shared" si="4"/>
        <v>0</v>
      </c>
      <c r="O21" s="222"/>
      <c r="P21" s="78"/>
    </row>
    <row r="22" spans="2:24" x14ac:dyDescent="0.2">
      <c r="B22" s="76"/>
      <c r="C22" s="191"/>
      <c r="D22" s="191" t="s">
        <v>297</v>
      </c>
      <c r="E22" s="191"/>
      <c r="F22" s="191"/>
      <c r="G22" s="68">
        <v>0</v>
      </c>
      <c r="H22" s="1560">
        <v>0</v>
      </c>
      <c r="I22" s="68">
        <f t="shared" ref="I22:N22" si="5">I56-(I17+(SUM(I19:I21)))</f>
        <v>0</v>
      </c>
      <c r="J22" s="68">
        <f t="shared" si="5"/>
        <v>0</v>
      </c>
      <c r="K22" s="68">
        <f t="shared" si="5"/>
        <v>0</v>
      </c>
      <c r="L22" s="68">
        <f t="shared" si="5"/>
        <v>0</v>
      </c>
      <c r="M22" s="68">
        <f t="shared" si="5"/>
        <v>0</v>
      </c>
      <c r="N22" s="68">
        <f t="shared" si="5"/>
        <v>0</v>
      </c>
      <c r="O22" s="222"/>
      <c r="P22" s="78"/>
    </row>
    <row r="23" spans="2:24" x14ac:dyDescent="0.2">
      <c r="B23" s="76"/>
      <c r="C23" s="191"/>
      <c r="D23" s="447"/>
      <c r="E23" s="447"/>
      <c r="F23" s="191"/>
      <c r="G23" s="567">
        <f>SUM(G20:G22)</f>
        <v>0</v>
      </c>
      <c r="H23" s="567">
        <f>SUM(H20:H22)</f>
        <v>0</v>
      </c>
      <c r="I23" s="567">
        <f t="shared" ref="I23:N23" si="6">SUM(I19:I22)</f>
        <v>0</v>
      </c>
      <c r="J23" s="567">
        <f t="shared" si="6"/>
        <v>0</v>
      </c>
      <c r="K23" s="567">
        <f t="shared" si="6"/>
        <v>0</v>
      </c>
      <c r="L23" s="567">
        <f t="shared" si="6"/>
        <v>0</v>
      </c>
      <c r="M23" s="567">
        <f t="shared" si="6"/>
        <v>0</v>
      </c>
      <c r="N23" s="567">
        <f t="shared" si="6"/>
        <v>0</v>
      </c>
      <c r="O23" s="418"/>
      <c r="P23" s="78"/>
    </row>
    <row r="24" spans="2:24" x14ac:dyDescent="0.2">
      <c r="B24" s="76"/>
      <c r="C24" s="191"/>
      <c r="D24" s="191"/>
      <c r="E24" s="191"/>
      <c r="F24" s="191"/>
      <c r="G24" s="191"/>
      <c r="H24" s="191"/>
      <c r="I24" s="191"/>
      <c r="J24" s="191"/>
      <c r="K24" s="191"/>
      <c r="L24" s="191"/>
      <c r="M24" s="191"/>
      <c r="N24" s="191"/>
      <c r="O24" s="191"/>
      <c r="P24" s="78"/>
    </row>
    <row r="25" spans="2:24" x14ac:dyDescent="0.2">
      <c r="B25" s="76"/>
      <c r="C25" s="191"/>
      <c r="D25" s="447" t="s">
        <v>245</v>
      </c>
      <c r="E25" s="447"/>
      <c r="F25" s="493"/>
      <c r="G25" s="545">
        <f t="shared" ref="G25:N25" si="7">G17+G23</f>
        <v>0</v>
      </c>
      <c r="H25" s="545">
        <f t="shared" si="7"/>
        <v>0</v>
      </c>
      <c r="I25" s="545">
        <f t="shared" si="7"/>
        <v>0</v>
      </c>
      <c r="J25" s="545">
        <f t="shared" si="7"/>
        <v>0</v>
      </c>
      <c r="K25" s="545">
        <f t="shared" si="7"/>
        <v>0</v>
      </c>
      <c r="L25" s="545">
        <f t="shared" si="7"/>
        <v>0</v>
      </c>
      <c r="M25" s="545">
        <f t="shared" si="7"/>
        <v>0</v>
      </c>
      <c r="N25" s="545">
        <f t="shared" si="7"/>
        <v>0</v>
      </c>
      <c r="O25" s="418"/>
      <c r="P25" s="78"/>
    </row>
    <row r="26" spans="2:24" x14ac:dyDescent="0.2">
      <c r="B26" s="76"/>
      <c r="C26" s="191"/>
      <c r="D26" s="191"/>
      <c r="E26" s="191"/>
      <c r="F26" s="493"/>
      <c r="G26" s="493"/>
      <c r="H26" s="493"/>
      <c r="I26" s="71"/>
      <c r="J26" s="71"/>
      <c r="K26" s="71"/>
      <c r="L26" s="71"/>
      <c r="M26" s="71"/>
      <c r="N26" s="71"/>
      <c r="O26" s="71"/>
      <c r="P26" s="78"/>
      <c r="R26" s="412"/>
      <c r="T26" s="474"/>
      <c r="U26" s="474"/>
      <c r="V26" s="474"/>
      <c r="W26" s="474"/>
      <c r="X26" s="474"/>
    </row>
    <row r="27" spans="2:24" x14ac:dyDescent="0.2">
      <c r="B27" s="76"/>
      <c r="C27" s="77"/>
      <c r="D27" s="77"/>
      <c r="E27" s="77"/>
      <c r="F27" s="486"/>
      <c r="G27" s="486"/>
      <c r="H27" s="486"/>
      <c r="I27" s="70"/>
      <c r="J27" s="70"/>
      <c r="K27" s="70"/>
      <c r="L27" s="70"/>
      <c r="M27" s="70"/>
      <c r="N27" s="70"/>
      <c r="O27" s="70"/>
      <c r="P27" s="78"/>
      <c r="R27" s="412"/>
      <c r="T27" s="474"/>
      <c r="U27" s="474"/>
      <c r="V27" s="474"/>
      <c r="W27" s="474"/>
      <c r="X27" s="474"/>
    </row>
    <row r="28" spans="2:24" x14ac:dyDescent="0.2">
      <c r="B28" s="76"/>
      <c r="C28" s="191"/>
      <c r="D28" s="191"/>
      <c r="E28" s="191"/>
      <c r="F28" s="493"/>
      <c r="G28" s="493"/>
      <c r="H28" s="493"/>
      <c r="I28" s="493"/>
      <c r="J28" s="493"/>
      <c r="K28" s="493"/>
      <c r="L28" s="493"/>
      <c r="M28" s="493"/>
      <c r="N28" s="493"/>
      <c r="O28" s="493"/>
      <c r="P28" s="78"/>
      <c r="R28" s="412"/>
      <c r="T28" s="474"/>
      <c r="U28" s="474"/>
      <c r="V28" s="474"/>
      <c r="W28" s="474"/>
      <c r="X28" s="474"/>
    </row>
    <row r="29" spans="2:24" x14ac:dyDescent="0.2">
      <c r="B29" s="76"/>
      <c r="C29" s="191"/>
      <c r="D29" s="604" t="s">
        <v>244</v>
      </c>
      <c r="E29" s="189"/>
      <c r="F29" s="191"/>
      <c r="G29" s="493"/>
      <c r="H29" s="493"/>
      <c r="I29" s="71"/>
      <c r="J29" s="71"/>
      <c r="K29" s="71"/>
      <c r="L29" s="71"/>
      <c r="M29" s="71"/>
      <c r="N29" s="71"/>
      <c r="O29" s="71"/>
      <c r="P29" s="78"/>
      <c r="R29" s="412"/>
      <c r="T29" s="474"/>
      <c r="U29" s="474"/>
      <c r="V29" s="474"/>
      <c r="W29" s="474"/>
      <c r="X29" s="474"/>
    </row>
    <row r="30" spans="2:24" x14ac:dyDescent="0.2">
      <c r="B30" s="76"/>
      <c r="C30" s="190"/>
      <c r="D30" s="613"/>
      <c r="E30" s="191"/>
      <c r="F30" s="493"/>
      <c r="G30" s="493"/>
      <c r="H30" s="493"/>
      <c r="I30" s="71"/>
      <c r="J30" s="71"/>
      <c r="K30" s="71"/>
      <c r="L30" s="71"/>
      <c r="M30" s="71"/>
      <c r="N30" s="71"/>
      <c r="O30" s="71"/>
      <c r="P30" s="78"/>
      <c r="R30" s="412"/>
      <c r="T30" s="474"/>
      <c r="U30" s="474"/>
      <c r="V30" s="474"/>
      <c r="W30" s="474"/>
      <c r="X30" s="474"/>
    </row>
    <row r="31" spans="2:24" x14ac:dyDescent="0.2">
      <c r="B31" s="76"/>
      <c r="C31" s="191"/>
      <c r="D31" s="604" t="s">
        <v>298</v>
      </c>
      <c r="E31" s="189"/>
      <c r="F31" s="191"/>
      <c r="G31" s="493"/>
      <c r="H31" s="493"/>
      <c r="I31" s="71"/>
      <c r="J31" s="71"/>
      <c r="K31" s="71"/>
      <c r="L31" s="71"/>
      <c r="M31" s="71"/>
      <c r="N31" s="71"/>
      <c r="O31" s="418"/>
      <c r="P31" s="78"/>
      <c r="R31" s="412"/>
      <c r="T31" s="474"/>
      <c r="U31" s="474"/>
      <c r="V31" s="474"/>
      <c r="W31" s="474"/>
      <c r="X31" s="474"/>
    </row>
    <row r="32" spans="2:24" x14ac:dyDescent="0.2">
      <c r="B32" s="76"/>
      <c r="C32" s="191"/>
      <c r="D32" s="191" t="s">
        <v>246</v>
      </c>
      <c r="E32" s="191"/>
      <c r="F32" s="191"/>
      <c r="G32" s="68">
        <v>0</v>
      </c>
      <c r="H32" s="68">
        <f>H25-(H33+H34+H35+H41+H45+H54)</f>
        <v>0</v>
      </c>
      <c r="I32" s="68">
        <f>H36+begr!F40-SUM(I33:I35)</f>
        <v>0</v>
      </c>
      <c r="J32" s="68">
        <f>I36+begr!G40-SUM(J33:J35)</f>
        <v>0</v>
      </c>
      <c r="K32" s="68">
        <f>J36+begr!H40-SUM(K33:K35)</f>
        <v>0</v>
      </c>
      <c r="L32" s="68">
        <f>K36+begr!I40-SUM(L33:L35)</f>
        <v>0</v>
      </c>
      <c r="M32" s="68">
        <f>L36+begr!J40-SUM(M33:M35)</f>
        <v>0</v>
      </c>
      <c r="N32" s="68">
        <f>M36+begr!K40-SUM(N33:N35)</f>
        <v>0</v>
      </c>
      <c r="O32" s="191"/>
      <c r="P32" s="78"/>
      <c r="R32" s="412"/>
      <c r="T32" s="474"/>
      <c r="U32" s="474"/>
      <c r="V32" s="474"/>
      <c r="W32" s="474"/>
      <c r="X32" s="474"/>
    </row>
    <row r="33" spans="2:24" x14ac:dyDescent="0.2">
      <c r="B33" s="76"/>
      <c r="C33" s="191"/>
      <c r="D33" s="191" t="s">
        <v>247</v>
      </c>
      <c r="E33" s="191"/>
      <c r="F33" s="191"/>
      <c r="G33" s="67">
        <v>0</v>
      </c>
      <c r="H33" s="67">
        <v>0</v>
      </c>
      <c r="I33" s="67">
        <f t="shared" ref="I33:N33" si="8">+H33</f>
        <v>0</v>
      </c>
      <c r="J33" s="67">
        <f t="shared" si="8"/>
        <v>0</v>
      </c>
      <c r="K33" s="67">
        <f t="shared" si="8"/>
        <v>0</v>
      </c>
      <c r="L33" s="67">
        <f t="shared" si="8"/>
        <v>0</v>
      </c>
      <c r="M33" s="67">
        <f t="shared" si="8"/>
        <v>0</v>
      </c>
      <c r="N33" s="67">
        <f t="shared" si="8"/>
        <v>0</v>
      </c>
      <c r="O33" s="191"/>
      <c r="P33" s="78"/>
      <c r="R33" s="412"/>
      <c r="T33" s="474"/>
      <c r="U33" s="474"/>
      <c r="V33" s="474"/>
      <c r="W33" s="474"/>
      <c r="X33" s="474"/>
    </row>
    <row r="34" spans="2:24" x14ac:dyDescent="0.2">
      <c r="B34" s="76"/>
      <c r="C34" s="191"/>
      <c r="D34" s="191" t="s">
        <v>248</v>
      </c>
      <c r="E34" s="191"/>
      <c r="F34" s="191"/>
      <c r="G34" s="67">
        <v>0</v>
      </c>
      <c r="H34" s="67">
        <v>0</v>
      </c>
      <c r="I34" s="67">
        <f t="shared" ref="I34:N35" si="9">+H34</f>
        <v>0</v>
      </c>
      <c r="J34" s="67">
        <f t="shared" si="9"/>
        <v>0</v>
      </c>
      <c r="K34" s="67">
        <f t="shared" si="9"/>
        <v>0</v>
      </c>
      <c r="L34" s="67">
        <f t="shared" si="9"/>
        <v>0</v>
      </c>
      <c r="M34" s="67">
        <f t="shared" si="9"/>
        <v>0</v>
      </c>
      <c r="N34" s="67">
        <f t="shared" si="9"/>
        <v>0</v>
      </c>
      <c r="O34" s="191"/>
      <c r="P34" s="78"/>
      <c r="R34" s="412"/>
      <c r="T34" s="474"/>
      <c r="U34" s="474"/>
      <c r="V34" s="474"/>
      <c r="W34" s="474"/>
      <c r="X34" s="474"/>
    </row>
    <row r="35" spans="2:24" x14ac:dyDescent="0.2">
      <c r="B35" s="76"/>
      <c r="C35" s="191"/>
      <c r="D35" s="191" t="s">
        <v>249</v>
      </c>
      <c r="E35" s="191"/>
      <c r="F35" s="191"/>
      <c r="G35" s="67">
        <v>0</v>
      </c>
      <c r="H35" s="67">
        <v>0</v>
      </c>
      <c r="I35" s="67">
        <f t="shared" si="9"/>
        <v>0</v>
      </c>
      <c r="J35" s="67">
        <f t="shared" si="9"/>
        <v>0</v>
      </c>
      <c r="K35" s="67">
        <f t="shared" si="9"/>
        <v>0</v>
      </c>
      <c r="L35" s="67">
        <f t="shared" si="9"/>
        <v>0</v>
      </c>
      <c r="M35" s="67">
        <f t="shared" si="9"/>
        <v>0</v>
      </c>
      <c r="N35" s="67">
        <f t="shared" si="9"/>
        <v>0</v>
      </c>
      <c r="O35" s="191"/>
      <c r="P35" s="78"/>
      <c r="R35" s="412"/>
      <c r="T35" s="474"/>
      <c r="U35" s="474"/>
      <c r="V35" s="474"/>
      <c r="W35" s="474"/>
      <c r="X35" s="474"/>
    </row>
    <row r="36" spans="2:24" x14ac:dyDescent="0.2">
      <c r="B36" s="76"/>
      <c r="C36" s="191"/>
      <c r="D36" s="199"/>
      <c r="E36" s="199"/>
      <c r="F36" s="191"/>
      <c r="G36" s="567">
        <f t="shared" ref="G36:N36" si="10">SUM(G32:G35)</f>
        <v>0</v>
      </c>
      <c r="H36" s="567">
        <f t="shared" si="10"/>
        <v>0</v>
      </c>
      <c r="I36" s="567">
        <f t="shared" si="10"/>
        <v>0</v>
      </c>
      <c r="J36" s="567">
        <f t="shared" si="10"/>
        <v>0</v>
      </c>
      <c r="K36" s="567">
        <f t="shared" si="10"/>
        <v>0</v>
      </c>
      <c r="L36" s="567">
        <f t="shared" si="10"/>
        <v>0</v>
      </c>
      <c r="M36" s="567">
        <f t="shared" si="10"/>
        <v>0</v>
      </c>
      <c r="N36" s="567">
        <f t="shared" si="10"/>
        <v>0</v>
      </c>
      <c r="O36" s="191"/>
      <c r="P36" s="78"/>
      <c r="R36" s="412"/>
      <c r="T36" s="474"/>
      <c r="U36" s="474"/>
      <c r="V36" s="474"/>
      <c r="W36" s="474"/>
      <c r="X36" s="474"/>
    </row>
    <row r="37" spans="2:24" x14ac:dyDescent="0.2">
      <c r="B37" s="76"/>
      <c r="C37" s="191"/>
      <c r="D37" s="604" t="s">
        <v>299</v>
      </c>
      <c r="E37" s="189"/>
      <c r="F37" s="191"/>
      <c r="G37" s="191"/>
      <c r="H37" s="191"/>
      <c r="I37" s="191"/>
      <c r="J37" s="191"/>
      <c r="K37" s="191"/>
      <c r="L37" s="191"/>
      <c r="M37" s="191"/>
      <c r="N37" s="191"/>
      <c r="O37" s="191"/>
      <c r="P37" s="78"/>
      <c r="R37" s="412"/>
      <c r="T37" s="474"/>
      <c r="U37" s="474"/>
      <c r="V37" s="474"/>
      <c r="W37" s="474"/>
      <c r="X37" s="474"/>
    </row>
    <row r="38" spans="2:24" x14ac:dyDescent="0.2">
      <c r="B38" s="76"/>
      <c r="C38" s="191"/>
      <c r="D38" s="191" t="s">
        <v>263</v>
      </c>
      <c r="E38" s="191"/>
      <c r="F38" s="191"/>
      <c r="G38" s="67">
        <v>0</v>
      </c>
      <c r="H38" s="67">
        <v>0</v>
      </c>
      <c r="I38" s="67">
        <f t="shared" ref="I38:N38" si="11">+H38</f>
        <v>0</v>
      </c>
      <c r="J38" s="67">
        <f t="shared" si="11"/>
        <v>0</v>
      </c>
      <c r="K38" s="67">
        <f t="shared" si="11"/>
        <v>0</v>
      </c>
      <c r="L38" s="67">
        <f t="shared" si="11"/>
        <v>0</v>
      </c>
      <c r="M38" s="67">
        <f t="shared" si="11"/>
        <v>0</v>
      </c>
      <c r="N38" s="67">
        <f t="shared" si="11"/>
        <v>0</v>
      </c>
      <c r="O38" s="191"/>
      <c r="P38" s="78"/>
      <c r="R38" s="412"/>
      <c r="T38" s="474"/>
      <c r="U38" s="474"/>
      <c r="V38" s="474"/>
      <c r="W38" s="474"/>
      <c r="X38" s="474"/>
    </row>
    <row r="39" spans="2:24" x14ac:dyDescent="0.2">
      <c r="B39" s="76"/>
      <c r="C39" s="191"/>
      <c r="D39" s="191" t="s">
        <v>257</v>
      </c>
      <c r="E39" s="191"/>
      <c r="F39" s="191"/>
      <c r="G39" s="67">
        <v>0</v>
      </c>
      <c r="H39" s="67">
        <v>0</v>
      </c>
      <c r="I39" s="67">
        <f>+H39+pers!H149+pers!H178-(7/12*'sal SWV'!$AL35+5/12*'sal SWV'!$AL67)</f>
        <v>0</v>
      </c>
      <c r="J39" s="67">
        <f>+I39+pers!I149+pers!I178-(7/12*'sal SWV'!$AL67+5/12*'sal SWV'!$AL99)</f>
        <v>0</v>
      </c>
      <c r="K39" s="67">
        <f>+J39+pers!J149+pers!J178-(7/12*'sal SWV'!$AL99+5/12*'sal SWV'!$AL131)</f>
        <v>0</v>
      </c>
      <c r="L39" s="67">
        <f>+K39+pers!K149+pers!K178-(7/12*'sal SWV'!$AL131+5/12*'sal SWV'!$AL163)</f>
        <v>0</v>
      </c>
      <c r="M39" s="67">
        <f>+L39+pers!L149+pers!L178-(7/12*'sal SWV'!$AL163+5/12*'sal SWV'!$AL195)</f>
        <v>0</v>
      </c>
      <c r="N39" s="67">
        <f>+M39+pers!M149+pers!M178-(7/12*'sal SWV'!$AL195+5/12*'sal SWV'!$AL227)</f>
        <v>0</v>
      </c>
      <c r="O39" s="222"/>
      <c r="P39" s="78"/>
      <c r="R39" s="412"/>
      <c r="T39" s="474"/>
      <c r="U39" s="474"/>
      <c r="V39" s="474"/>
      <c r="W39" s="474"/>
      <c r="X39" s="474"/>
    </row>
    <row r="40" spans="2:24" x14ac:dyDescent="0.2">
      <c r="B40" s="76"/>
      <c r="C40" s="191"/>
      <c r="D40" s="191" t="s">
        <v>300</v>
      </c>
      <c r="E40" s="191"/>
      <c r="F40" s="191"/>
      <c r="G40" s="67">
        <v>0</v>
      </c>
      <c r="H40" s="67">
        <v>0</v>
      </c>
      <c r="I40" s="67">
        <f t="shared" ref="I40" si="12">+H40</f>
        <v>0</v>
      </c>
      <c r="J40" s="67">
        <f t="shared" ref="J40:N40" si="13">I40</f>
        <v>0</v>
      </c>
      <c r="K40" s="67">
        <f t="shared" si="13"/>
        <v>0</v>
      </c>
      <c r="L40" s="67">
        <f t="shared" si="13"/>
        <v>0</v>
      </c>
      <c r="M40" s="67">
        <f t="shared" si="13"/>
        <v>0</v>
      </c>
      <c r="N40" s="67">
        <f t="shared" si="13"/>
        <v>0</v>
      </c>
      <c r="O40" s="222"/>
      <c r="P40" s="78"/>
      <c r="R40" s="412"/>
      <c r="T40" s="474"/>
      <c r="U40" s="474"/>
      <c r="V40" s="474"/>
      <c r="W40" s="474"/>
      <c r="X40" s="474"/>
    </row>
    <row r="41" spans="2:24" x14ac:dyDescent="0.2">
      <c r="B41" s="76"/>
      <c r="C41" s="191"/>
      <c r="D41" s="199"/>
      <c r="E41" s="199"/>
      <c r="F41" s="191"/>
      <c r="G41" s="567">
        <f t="shared" ref="G41:N41" si="14">SUM(G38:G40)</f>
        <v>0</v>
      </c>
      <c r="H41" s="567">
        <f t="shared" si="14"/>
        <v>0</v>
      </c>
      <c r="I41" s="567">
        <f t="shared" si="14"/>
        <v>0</v>
      </c>
      <c r="J41" s="567">
        <f t="shared" si="14"/>
        <v>0</v>
      </c>
      <c r="K41" s="567">
        <f t="shared" si="14"/>
        <v>0</v>
      </c>
      <c r="L41" s="567">
        <f t="shared" si="14"/>
        <v>0</v>
      </c>
      <c r="M41" s="567">
        <f t="shared" si="14"/>
        <v>0</v>
      </c>
      <c r="N41" s="567">
        <f t="shared" si="14"/>
        <v>0</v>
      </c>
      <c r="O41" s="418"/>
      <c r="P41" s="78"/>
      <c r="R41" s="412"/>
      <c r="T41" s="474"/>
      <c r="U41" s="474"/>
      <c r="V41" s="474"/>
      <c r="W41" s="474"/>
      <c r="X41" s="474"/>
    </row>
    <row r="42" spans="2:24" x14ac:dyDescent="0.2">
      <c r="B42" s="76"/>
      <c r="C42" s="191"/>
      <c r="D42" s="604" t="s">
        <v>301</v>
      </c>
      <c r="E42" s="189"/>
      <c r="F42" s="191"/>
      <c r="G42" s="191"/>
      <c r="H42" s="191"/>
      <c r="I42" s="222"/>
      <c r="J42" s="222"/>
      <c r="K42" s="222"/>
      <c r="L42" s="222"/>
      <c r="M42" s="222"/>
      <c r="N42" s="222"/>
      <c r="O42" s="222"/>
      <c r="P42" s="78"/>
      <c r="R42" s="412"/>
      <c r="T42" s="474"/>
      <c r="U42" s="474"/>
      <c r="V42" s="474"/>
      <c r="W42" s="474"/>
      <c r="X42" s="474"/>
    </row>
    <row r="43" spans="2:24" x14ac:dyDescent="0.2">
      <c r="B43" s="76"/>
      <c r="C43" s="191"/>
      <c r="D43" s="191" t="s">
        <v>221</v>
      </c>
      <c r="E43" s="191"/>
      <c r="F43" s="191"/>
      <c r="G43" s="67">
        <v>0</v>
      </c>
      <c r="H43" s="67">
        <v>0</v>
      </c>
      <c r="I43" s="67">
        <f t="shared" ref="I43:N43" si="15">+H43</f>
        <v>0</v>
      </c>
      <c r="J43" s="67">
        <f t="shared" si="15"/>
        <v>0</v>
      </c>
      <c r="K43" s="67">
        <f t="shared" si="15"/>
        <v>0</v>
      </c>
      <c r="L43" s="67">
        <f t="shared" si="15"/>
        <v>0</v>
      </c>
      <c r="M43" s="67">
        <f t="shared" si="15"/>
        <v>0</v>
      </c>
      <c r="N43" s="67">
        <f t="shared" si="15"/>
        <v>0</v>
      </c>
      <c r="O43" s="222"/>
      <c r="P43" s="78"/>
      <c r="R43" s="412"/>
      <c r="T43" s="474"/>
      <c r="U43" s="474"/>
      <c r="V43" s="474"/>
      <c r="W43" s="474"/>
      <c r="X43" s="474"/>
    </row>
    <row r="44" spans="2:24" x14ac:dyDescent="0.2">
      <c r="B44" s="76"/>
      <c r="C44" s="191"/>
      <c r="D44" s="191" t="s">
        <v>222</v>
      </c>
      <c r="E44" s="191"/>
      <c r="F44" s="191"/>
      <c r="G44" s="67">
        <v>0</v>
      </c>
      <c r="H44" s="67">
        <v>0</v>
      </c>
      <c r="I44" s="67">
        <f t="shared" ref="I44:N44" si="16">+H44</f>
        <v>0</v>
      </c>
      <c r="J44" s="67">
        <f t="shared" si="16"/>
        <v>0</v>
      </c>
      <c r="K44" s="67">
        <f t="shared" si="16"/>
        <v>0</v>
      </c>
      <c r="L44" s="67">
        <f t="shared" si="16"/>
        <v>0</v>
      </c>
      <c r="M44" s="67">
        <f t="shared" si="16"/>
        <v>0</v>
      </c>
      <c r="N44" s="67">
        <f t="shared" si="16"/>
        <v>0</v>
      </c>
      <c r="O44" s="222"/>
      <c r="P44" s="78"/>
      <c r="R44" s="412"/>
      <c r="T44" s="474"/>
      <c r="U44" s="474"/>
      <c r="V44" s="474"/>
      <c r="W44" s="474"/>
      <c r="X44" s="474"/>
    </row>
    <row r="45" spans="2:24" x14ac:dyDescent="0.2">
      <c r="B45" s="76"/>
      <c r="C45" s="191"/>
      <c r="D45" s="447"/>
      <c r="E45" s="447"/>
      <c r="F45" s="191"/>
      <c r="G45" s="567">
        <f t="shared" ref="G45:N45" si="17">SUM(G43:G44)</f>
        <v>0</v>
      </c>
      <c r="H45" s="567">
        <f t="shared" si="17"/>
        <v>0</v>
      </c>
      <c r="I45" s="567">
        <f t="shared" si="17"/>
        <v>0</v>
      </c>
      <c r="J45" s="567">
        <f t="shared" si="17"/>
        <v>0</v>
      </c>
      <c r="K45" s="567">
        <f t="shared" si="17"/>
        <v>0</v>
      </c>
      <c r="L45" s="567">
        <f t="shared" si="17"/>
        <v>0</v>
      </c>
      <c r="M45" s="567">
        <f t="shared" si="17"/>
        <v>0</v>
      </c>
      <c r="N45" s="567">
        <f t="shared" si="17"/>
        <v>0</v>
      </c>
      <c r="O45" s="418"/>
      <c r="P45" s="78"/>
      <c r="R45" s="412"/>
      <c r="T45" s="474"/>
      <c r="U45" s="474"/>
      <c r="V45" s="474"/>
      <c r="W45" s="474"/>
      <c r="X45" s="474"/>
    </row>
    <row r="46" spans="2:24" x14ac:dyDescent="0.2">
      <c r="B46" s="76"/>
      <c r="C46" s="191"/>
      <c r="D46" s="604" t="s">
        <v>302</v>
      </c>
      <c r="E46" s="189"/>
      <c r="F46" s="191"/>
      <c r="G46" s="191"/>
      <c r="H46" s="191"/>
      <c r="I46" s="222"/>
      <c r="J46" s="222"/>
      <c r="K46" s="222"/>
      <c r="L46" s="222"/>
      <c r="M46" s="222"/>
      <c r="N46" s="222"/>
      <c r="O46" s="222"/>
      <c r="P46" s="78"/>
      <c r="R46" s="412"/>
      <c r="T46" s="474"/>
      <c r="U46" s="474"/>
      <c r="V46" s="474"/>
      <c r="W46" s="474"/>
      <c r="X46" s="474"/>
    </row>
    <row r="47" spans="2:24" x14ac:dyDescent="0.2">
      <c r="B47" s="76"/>
      <c r="C47" s="191"/>
      <c r="D47" s="191" t="s">
        <v>221</v>
      </c>
      <c r="E47" s="191"/>
      <c r="F47" s="191"/>
      <c r="G47" s="67">
        <v>0</v>
      </c>
      <c r="H47" s="67">
        <v>0</v>
      </c>
      <c r="I47" s="67">
        <f t="shared" ref="I47:N47" si="18">+H47</f>
        <v>0</v>
      </c>
      <c r="J47" s="67">
        <f t="shared" si="18"/>
        <v>0</v>
      </c>
      <c r="K47" s="67">
        <f t="shared" si="18"/>
        <v>0</v>
      </c>
      <c r="L47" s="67">
        <f t="shared" si="18"/>
        <v>0</v>
      </c>
      <c r="M47" s="67">
        <f t="shared" si="18"/>
        <v>0</v>
      </c>
      <c r="N47" s="67">
        <f t="shared" si="18"/>
        <v>0</v>
      </c>
      <c r="O47" s="222"/>
      <c r="P47" s="78"/>
      <c r="R47" s="412"/>
      <c r="T47" s="474"/>
      <c r="U47" s="474"/>
      <c r="V47" s="474"/>
      <c r="W47" s="474"/>
      <c r="X47" s="474"/>
    </row>
    <row r="48" spans="2:24" x14ac:dyDescent="0.2">
      <c r="B48" s="76"/>
      <c r="C48" s="191"/>
      <c r="D48" s="191" t="s">
        <v>223</v>
      </c>
      <c r="E48" s="191"/>
      <c r="F48" s="191"/>
      <c r="G48" s="67">
        <v>0</v>
      </c>
      <c r="H48" s="67">
        <v>0</v>
      </c>
      <c r="I48" s="67">
        <f t="shared" ref="I48:N53" si="19">+H48</f>
        <v>0</v>
      </c>
      <c r="J48" s="67">
        <f t="shared" si="19"/>
        <v>0</v>
      </c>
      <c r="K48" s="67">
        <f t="shared" si="19"/>
        <v>0</v>
      </c>
      <c r="L48" s="67">
        <f t="shared" si="19"/>
        <v>0</v>
      </c>
      <c r="M48" s="67">
        <f t="shared" si="19"/>
        <v>0</v>
      </c>
      <c r="N48" s="67">
        <f t="shared" si="19"/>
        <v>0</v>
      </c>
      <c r="O48" s="222"/>
      <c r="P48" s="78"/>
      <c r="R48" s="412"/>
      <c r="T48" s="474"/>
      <c r="U48" s="474"/>
      <c r="V48" s="474"/>
      <c r="W48" s="474"/>
      <c r="X48" s="474"/>
    </row>
    <row r="49" spans="2:24" x14ac:dyDescent="0.2">
      <c r="B49" s="76"/>
      <c r="C49" s="191"/>
      <c r="D49" s="191" t="s">
        <v>224</v>
      </c>
      <c r="E49" s="191"/>
      <c r="F49" s="191"/>
      <c r="G49" s="67">
        <v>0</v>
      </c>
      <c r="H49" s="67">
        <v>0</v>
      </c>
      <c r="I49" s="67">
        <f t="shared" si="19"/>
        <v>0</v>
      </c>
      <c r="J49" s="67">
        <f t="shared" si="19"/>
        <v>0</v>
      </c>
      <c r="K49" s="67">
        <f t="shared" si="19"/>
        <v>0</v>
      </c>
      <c r="L49" s="67">
        <f t="shared" si="19"/>
        <v>0</v>
      </c>
      <c r="M49" s="67">
        <f t="shared" si="19"/>
        <v>0</v>
      </c>
      <c r="N49" s="67">
        <f t="shared" si="19"/>
        <v>0</v>
      </c>
      <c r="O49" s="222"/>
      <c r="P49" s="78"/>
      <c r="R49" s="412"/>
      <c r="T49" s="474"/>
      <c r="U49" s="474"/>
      <c r="V49" s="474"/>
      <c r="W49" s="474"/>
      <c r="X49" s="474"/>
    </row>
    <row r="50" spans="2:24" x14ac:dyDescent="0.2">
      <c r="B50" s="76"/>
      <c r="C50" s="191"/>
      <c r="D50" s="191" t="s">
        <v>225</v>
      </c>
      <c r="E50" s="191"/>
      <c r="F50" s="191"/>
      <c r="G50" s="67">
        <v>0</v>
      </c>
      <c r="H50" s="67">
        <v>0</v>
      </c>
      <c r="I50" s="67">
        <f t="shared" si="19"/>
        <v>0</v>
      </c>
      <c r="J50" s="67">
        <f t="shared" si="19"/>
        <v>0</v>
      </c>
      <c r="K50" s="67">
        <f t="shared" si="19"/>
        <v>0</v>
      </c>
      <c r="L50" s="67">
        <f t="shared" si="19"/>
        <v>0</v>
      </c>
      <c r="M50" s="67">
        <f t="shared" si="19"/>
        <v>0</v>
      </c>
      <c r="N50" s="67">
        <f t="shared" si="19"/>
        <v>0</v>
      </c>
      <c r="O50" s="222"/>
      <c r="P50" s="78"/>
      <c r="R50" s="412"/>
      <c r="T50" s="474"/>
      <c r="U50" s="474"/>
      <c r="V50" s="474"/>
      <c r="W50" s="474"/>
      <c r="X50" s="474"/>
    </row>
    <row r="51" spans="2:24" x14ac:dyDescent="0.2">
      <c r="B51" s="76"/>
      <c r="C51" s="191"/>
      <c r="D51" s="191" t="s">
        <v>226</v>
      </c>
      <c r="E51" s="191"/>
      <c r="F51" s="191"/>
      <c r="G51" s="67">
        <v>0</v>
      </c>
      <c r="H51" s="67">
        <v>0</v>
      </c>
      <c r="I51" s="67">
        <f t="shared" si="19"/>
        <v>0</v>
      </c>
      <c r="J51" s="67">
        <f t="shared" si="19"/>
        <v>0</v>
      </c>
      <c r="K51" s="67">
        <f t="shared" si="19"/>
        <v>0</v>
      </c>
      <c r="L51" s="67">
        <f t="shared" si="19"/>
        <v>0</v>
      </c>
      <c r="M51" s="67">
        <f t="shared" si="19"/>
        <v>0</v>
      </c>
      <c r="N51" s="67">
        <f t="shared" si="19"/>
        <v>0</v>
      </c>
      <c r="O51" s="222"/>
      <c r="P51" s="78"/>
      <c r="R51" s="412"/>
      <c r="T51" s="474"/>
      <c r="U51" s="474"/>
      <c r="V51" s="474"/>
      <c r="W51" s="474"/>
      <c r="X51" s="474"/>
    </row>
    <row r="52" spans="2:24" x14ac:dyDescent="0.2">
      <c r="B52" s="76"/>
      <c r="C52" s="191"/>
      <c r="D52" s="191" t="s">
        <v>227</v>
      </c>
      <c r="E52" s="191"/>
      <c r="F52" s="191"/>
      <c r="G52" s="67">
        <v>0</v>
      </c>
      <c r="H52" s="67">
        <v>0</v>
      </c>
      <c r="I52" s="67">
        <f t="shared" si="19"/>
        <v>0</v>
      </c>
      <c r="J52" s="67">
        <f t="shared" si="19"/>
        <v>0</v>
      </c>
      <c r="K52" s="67">
        <f t="shared" si="19"/>
        <v>0</v>
      </c>
      <c r="L52" s="67">
        <f t="shared" si="19"/>
        <v>0</v>
      </c>
      <c r="M52" s="67">
        <f t="shared" si="19"/>
        <v>0</v>
      </c>
      <c r="N52" s="67">
        <f t="shared" si="19"/>
        <v>0</v>
      </c>
      <c r="O52" s="222"/>
      <c r="P52" s="78"/>
      <c r="R52" s="412"/>
      <c r="T52" s="474"/>
      <c r="U52" s="474"/>
      <c r="V52" s="474"/>
      <c r="W52" s="474"/>
      <c r="X52" s="474"/>
    </row>
    <row r="53" spans="2:24" x14ac:dyDescent="0.2">
      <c r="B53" s="76"/>
      <c r="C53" s="191"/>
      <c r="D53" s="191" t="s">
        <v>228</v>
      </c>
      <c r="E53" s="191"/>
      <c r="F53" s="191"/>
      <c r="G53" s="67">
        <v>0</v>
      </c>
      <c r="H53" s="67">
        <v>0</v>
      </c>
      <c r="I53" s="67">
        <f t="shared" si="19"/>
        <v>0</v>
      </c>
      <c r="J53" s="67">
        <f t="shared" si="19"/>
        <v>0</v>
      </c>
      <c r="K53" s="67">
        <f t="shared" si="19"/>
        <v>0</v>
      </c>
      <c r="L53" s="67">
        <f t="shared" si="19"/>
        <v>0</v>
      </c>
      <c r="M53" s="67">
        <f t="shared" si="19"/>
        <v>0</v>
      </c>
      <c r="N53" s="67">
        <f t="shared" si="19"/>
        <v>0</v>
      </c>
      <c r="O53" s="222"/>
      <c r="P53" s="78"/>
      <c r="R53" s="412"/>
      <c r="T53" s="474"/>
      <c r="U53" s="474"/>
      <c r="V53" s="474"/>
      <c r="W53" s="474"/>
      <c r="X53" s="474"/>
    </row>
    <row r="54" spans="2:24" x14ac:dyDescent="0.2">
      <c r="B54" s="76"/>
      <c r="C54" s="191"/>
      <c r="D54" s="447"/>
      <c r="E54" s="447"/>
      <c r="F54" s="191"/>
      <c r="G54" s="567">
        <f t="shared" ref="G54:N54" si="20">SUM(G47:G53)</f>
        <v>0</v>
      </c>
      <c r="H54" s="567">
        <f t="shared" si="20"/>
        <v>0</v>
      </c>
      <c r="I54" s="567">
        <f t="shared" si="20"/>
        <v>0</v>
      </c>
      <c r="J54" s="567">
        <f t="shared" si="20"/>
        <v>0</v>
      </c>
      <c r="K54" s="567">
        <f t="shared" si="20"/>
        <v>0</v>
      </c>
      <c r="L54" s="567">
        <f t="shared" si="20"/>
        <v>0</v>
      </c>
      <c r="M54" s="567">
        <f t="shared" si="20"/>
        <v>0</v>
      </c>
      <c r="N54" s="567">
        <f t="shared" si="20"/>
        <v>0</v>
      </c>
      <c r="O54" s="418"/>
      <c r="P54" s="78"/>
      <c r="R54" s="412"/>
      <c r="T54" s="474"/>
      <c r="U54" s="474"/>
      <c r="V54" s="474"/>
      <c r="W54" s="474"/>
      <c r="X54" s="474"/>
    </row>
    <row r="55" spans="2:24" x14ac:dyDescent="0.2">
      <c r="B55" s="76"/>
      <c r="C55" s="191"/>
      <c r="D55" s="191"/>
      <c r="E55" s="191"/>
      <c r="F55" s="191"/>
      <c r="G55" s="191"/>
      <c r="H55" s="191"/>
      <c r="I55" s="191"/>
      <c r="J55" s="191"/>
      <c r="K55" s="191"/>
      <c r="L55" s="191"/>
      <c r="M55" s="191"/>
      <c r="N55" s="191"/>
      <c r="O55" s="191"/>
      <c r="P55" s="78"/>
      <c r="R55" s="412"/>
      <c r="T55" s="474"/>
      <c r="U55" s="474"/>
      <c r="V55" s="474"/>
      <c r="W55" s="474"/>
      <c r="X55" s="474"/>
    </row>
    <row r="56" spans="2:24" x14ac:dyDescent="0.2">
      <c r="B56" s="76"/>
      <c r="C56" s="191"/>
      <c r="D56" s="618" t="s">
        <v>250</v>
      </c>
      <c r="E56" s="446"/>
      <c r="F56" s="191"/>
      <c r="G56" s="545">
        <f t="shared" ref="G56:N56" si="21">G36+G41+G45+G54</f>
        <v>0</v>
      </c>
      <c r="H56" s="545">
        <f t="shared" si="21"/>
        <v>0</v>
      </c>
      <c r="I56" s="545">
        <f t="shared" si="21"/>
        <v>0</v>
      </c>
      <c r="J56" s="545">
        <f t="shared" si="21"/>
        <v>0</v>
      </c>
      <c r="K56" s="545">
        <f t="shared" si="21"/>
        <v>0</v>
      </c>
      <c r="L56" s="545">
        <f t="shared" si="21"/>
        <v>0</v>
      </c>
      <c r="M56" s="545">
        <f t="shared" si="21"/>
        <v>0</v>
      </c>
      <c r="N56" s="545">
        <f t="shared" si="21"/>
        <v>0</v>
      </c>
      <c r="O56" s="418"/>
      <c r="P56" s="78"/>
      <c r="R56" s="412"/>
      <c r="T56" s="474"/>
      <c r="U56" s="474"/>
      <c r="V56" s="474"/>
      <c r="W56" s="474"/>
      <c r="X56" s="474"/>
    </row>
    <row r="57" spans="2:24" x14ac:dyDescent="0.2">
      <c r="B57" s="76"/>
      <c r="C57" s="191"/>
      <c r="D57" s="447"/>
      <c r="E57" s="447"/>
      <c r="F57" s="191"/>
      <c r="G57" s="418"/>
      <c r="H57" s="418"/>
      <c r="I57" s="418"/>
      <c r="J57" s="418"/>
      <c r="K57" s="418"/>
      <c r="L57" s="418"/>
      <c r="M57" s="418"/>
      <c r="N57" s="418"/>
      <c r="O57" s="418"/>
      <c r="P57" s="78"/>
      <c r="R57" s="412"/>
      <c r="T57" s="474"/>
      <c r="U57" s="474"/>
      <c r="V57" s="474"/>
      <c r="W57" s="474"/>
      <c r="X57" s="474"/>
    </row>
    <row r="58" spans="2:24" x14ac:dyDescent="0.2">
      <c r="B58" s="76"/>
      <c r="C58" s="77"/>
      <c r="D58" s="124"/>
      <c r="E58" s="124"/>
      <c r="F58" s="77"/>
      <c r="G58" s="487"/>
      <c r="H58" s="487"/>
      <c r="I58" s="487"/>
      <c r="J58" s="487"/>
      <c r="K58" s="487"/>
      <c r="L58" s="487"/>
      <c r="M58" s="487"/>
      <c r="N58" s="487"/>
      <c r="O58" s="487"/>
      <c r="P58" s="78"/>
      <c r="R58" s="412"/>
      <c r="T58" s="474"/>
      <c r="U58" s="474"/>
      <c r="V58" s="474"/>
      <c r="W58" s="474"/>
      <c r="X58" s="474"/>
    </row>
    <row r="59" spans="2:24" x14ac:dyDescent="0.2">
      <c r="B59" s="76"/>
      <c r="C59" s="77"/>
      <c r="D59" s="77"/>
      <c r="E59" s="77"/>
      <c r="F59" s="77"/>
      <c r="G59" s="77"/>
      <c r="H59" s="77"/>
      <c r="I59" s="77"/>
      <c r="J59" s="77"/>
      <c r="K59" s="77"/>
      <c r="L59" s="77"/>
      <c r="M59" s="77"/>
      <c r="N59" s="77"/>
      <c r="O59" s="77"/>
      <c r="P59" s="78"/>
    </row>
    <row r="60" spans="2:24" x14ac:dyDescent="0.2">
      <c r="B60" s="76"/>
      <c r="C60" s="191"/>
      <c r="D60" s="191"/>
      <c r="E60" s="191"/>
      <c r="F60" s="191"/>
      <c r="G60" s="493"/>
      <c r="H60" s="493"/>
      <c r="I60" s="493"/>
      <c r="J60" s="493"/>
      <c r="K60" s="493"/>
      <c r="L60" s="493"/>
      <c r="M60" s="493"/>
      <c r="N60" s="493"/>
      <c r="O60" s="493"/>
      <c r="P60" s="488"/>
    </row>
    <row r="61" spans="2:24" x14ac:dyDescent="0.2">
      <c r="B61" s="76"/>
      <c r="C61" s="191"/>
      <c r="D61" s="604" t="s">
        <v>191</v>
      </c>
      <c r="E61" s="617" t="s">
        <v>268</v>
      </c>
      <c r="F61" s="613"/>
      <c r="G61" s="617">
        <f t="shared" ref="G61:N61" si="22">G8</f>
        <v>0</v>
      </c>
      <c r="H61" s="617">
        <f t="shared" si="22"/>
        <v>2014</v>
      </c>
      <c r="I61" s="617">
        <f t="shared" si="22"/>
        <v>2015</v>
      </c>
      <c r="J61" s="617">
        <f t="shared" si="22"/>
        <v>2016</v>
      </c>
      <c r="K61" s="617">
        <f t="shared" si="22"/>
        <v>2017</v>
      </c>
      <c r="L61" s="617">
        <f t="shared" si="22"/>
        <v>2018</v>
      </c>
      <c r="M61" s="617">
        <f t="shared" si="22"/>
        <v>2019</v>
      </c>
      <c r="N61" s="617">
        <f t="shared" si="22"/>
        <v>2020</v>
      </c>
      <c r="O61" s="191"/>
      <c r="P61" s="488"/>
    </row>
    <row r="62" spans="2:24" x14ac:dyDescent="0.2">
      <c r="B62" s="76"/>
      <c r="C62" s="191"/>
      <c r="D62" s="191"/>
      <c r="E62" s="493"/>
      <c r="F62" s="191"/>
      <c r="G62" s="493"/>
      <c r="H62" s="493"/>
      <c r="I62" s="493"/>
      <c r="J62" s="493"/>
      <c r="K62" s="493"/>
      <c r="L62" s="493"/>
      <c r="M62" s="493"/>
      <c r="N62" s="493"/>
      <c r="O62" s="493"/>
      <c r="P62" s="488"/>
    </row>
    <row r="63" spans="2:24" x14ac:dyDescent="0.2">
      <c r="B63" s="76"/>
      <c r="C63" s="191"/>
      <c r="D63" s="191" t="s">
        <v>192</v>
      </c>
      <c r="E63" s="876" t="s">
        <v>662</v>
      </c>
      <c r="F63" s="191"/>
      <c r="G63" s="568" t="e">
        <f t="shared" ref="G63" si="23">G32/G56</f>
        <v>#DIV/0!</v>
      </c>
      <c r="H63" s="568" t="e">
        <f>H36/H25</f>
        <v>#DIV/0!</v>
      </c>
      <c r="I63" s="568" t="e">
        <f t="shared" ref="I63:M63" si="24">I36/I25</f>
        <v>#DIV/0!</v>
      </c>
      <c r="J63" s="568" t="e">
        <f t="shared" si="24"/>
        <v>#DIV/0!</v>
      </c>
      <c r="K63" s="568" t="e">
        <f t="shared" si="24"/>
        <v>#DIV/0!</v>
      </c>
      <c r="L63" s="568" t="e">
        <f t="shared" si="24"/>
        <v>#DIV/0!</v>
      </c>
      <c r="M63" s="568" t="e">
        <f t="shared" si="24"/>
        <v>#DIV/0!</v>
      </c>
      <c r="N63" s="568" t="e">
        <f>N36/N25</f>
        <v>#DIV/0!</v>
      </c>
      <c r="O63" s="71"/>
      <c r="P63" s="489"/>
    </row>
    <row r="64" spans="2:24" x14ac:dyDescent="0.2">
      <c r="B64" s="989"/>
      <c r="C64" s="191"/>
      <c r="D64" s="191" t="s">
        <v>890</v>
      </c>
      <c r="E64" s="876"/>
      <c r="F64" s="191"/>
      <c r="G64" s="568"/>
      <c r="H64" s="568" t="e">
        <f>(H32+H41)/H56</f>
        <v>#DIV/0!</v>
      </c>
      <c r="I64" s="568" t="e">
        <f t="shared" ref="I64:N64" si="25">(I32+I41)/I56</f>
        <v>#DIV/0!</v>
      </c>
      <c r="J64" s="568" t="e">
        <f t="shared" si="25"/>
        <v>#DIV/0!</v>
      </c>
      <c r="K64" s="568" t="e">
        <f t="shared" si="25"/>
        <v>#DIV/0!</v>
      </c>
      <c r="L64" s="568" t="e">
        <f>(L32+L41)/L56</f>
        <v>#DIV/0!</v>
      </c>
      <c r="M64" s="568" t="e">
        <f t="shared" si="25"/>
        <v>#DIV/0!</v>
      </c>
      <c r="N64" s="568" t="e">
        <f t="shared" si="25"/>
        <v>#DIV/0!</v>
      </c>
      <c r="O64" s="71"/>
      <c r="P64" s="489"/>
    </row>
    <row r="65" spans="2:17" x14ac:dyDescent="0.2">
      <c r="B65" s="76"/>
      <c r="C65" s="191"/>
      <c r="D65" s="191" t="s">
        <v>193</v>
      </c>
      <c r="E65" s="71" t="s">
        <v>269</v>
      </c>
      <c r="F65" s="191"/>
      <c r="G65" s="569" t="e">
        <f t="shared" ref="G65:N65" si="26">G23/G54</f>
        <v>#DIV/0!</v>
      </c>
      <c r="H65" s="569" t="e">
        <f t="shared" si="26"/>
        <v>#DIV/0!</v>
      </c>
      <c r="I65" s="569" t="e">
        <f t="shared" si="26"/>
        <v>#DIV/0!</v>
      </c>
      <c r="J65" s="569" t="e">
        <f t="shared" si="26"/>
        <v>#DIV/0!</v>
      </c>
      <c r="K65" s="569" t="e">
        <f t="shared" si="26"/>
        <v>#DIV/0!</v>
      </c>
      <c r="L65" s="569" t="e">
        <f t="shared" si="26"/>
        <v>#DIV/0!</v>
      </c>
      <c r="M65" s="569" t="e">
        <f t="shared" si="26"/>
        <v>#DIV/0!</v>
      </c>
      <c r="N65" s="569" t="e">
        <f t="shared" si="26"/>
        <v>#DIV/0!</v>
      </c>
      <c r="O65" s="71"/>
      <c r="P65" s="488"/>
    </row>
    <row r="66" spans="2:17" x14ac:dyDescent="0.2">
      <c r="B66" s="76"/>
      <c r="C66" s="191"/>
      <c r="D66" s="191" t="s">
        <v>258</v>
      </c>
      <c r="E66" s="877" t="s">
        <v>270</v>
      </c>
      <c r="F66" s="191"/>
      <c r="G66" s="568" t="e">
        <f>begr!#REF!/(begr!#REF!+begr!#REF!)</f>
        <v>#REF!</v>
      </c>
      <c r="H66" s="1581"/>
      <c r="I66" s="568" t="e">
        <f>begr!F40/(begr!F33+begr!F19)</f>
        <v>#DIV/0!</v>
      </c>
      <c r="J66" s="568" t="e">
        <f>begr!G40/(begr!G33+begr!G19)</f>
        <v>#DIV/0!</v>
      </c>
      <c r="K66" s="568" t="e">
        <f>begr!H40/(begr!H33+begr!H19)</f>
        <v>#DIV/0!</v>
      </c>
      <c r="L66" s="568" t="e">
        <f>begr!I40/(begr!I33+begr!I19)</f>
        <v>#DIV/0!</v>
      </c>
      <c r="M66" s="568" t="e">
        <f>begr!J40/(begr!J33+begr!J19)</f>
        <v>#DIV/0!</v>
      </c>
      <c r="N66" s="568" t="e">
        <f>begr!K40/(begr!K33+begr!K19)</f>
        <v>#DIV/0!</v>
      </c>
      <c r="O66" s="71"/>
      <c r="P66" s="488"/>
    </row>
    <row r="67" spans="2:17" s="212" customFormat="1" x14ac:dyDescent="0.2">
      <c r="B67" s="215"/>
      <c r="C67" s="367"/>
      <c r="D67" s="191" t="s">
        <v>220</v>
      </c>
      <c r="E67" s="878">
        <v>0.05</v>
      </c>
      <c r="F67" s="191"/>
      <c r="G67" s="570" t="e">
        <f>G32/begr!#REF!</f>
        <v>#REF!</v>
      </c>
      <c r="H67" s="1582"/>
      <c r="I67" s="570" t="e">
        <f>I32/begr!F25</f>
        <v>#DIV/0!</v>
      </c>
      <c r="J67" s="570" t="e">
        <f>J32/begr!G25</f>
        <v>#DIV/0!</v>
      </c>
      <c r="K67" s="570" t="e">
        <f>K32/begr!H25</f>
        <v>#DIV/0!</v>
      </c>
      <c r="L67" s="570" t="e">
        <f>L32/begr!I25</f>
        <v>#DIV/0!</v>
      </c>
      <c r="M67" s="570" t="e">
        <f>M32/begr!J25</f>
        <v>#DIV/0!</v>
      </c>
      <c r="N67" s="570" t="e">
        <f>N32/begr!K25</f>
        <v>#DIV/0!</v>
      </c>
      <c r="O67" s="494"/>
      <c r="P67" s="490"/>
      <c r="Q67" s="472"/>
    </row>
    <row r="68" spans="2:17" s="212" customFormat="1" x14ac:dyDescent="0.2">
      <c r="B68" s="215"/>
      <c r="C68" s="367"/>
      <c r="D68" s="191" t="s">
        <v>271</v>
      </c>
      <c r="E68" s="878" t="s">
        <v>264</v>
      </c>
      <c r="F68" s="191"/>
      <c r="G68" s="570" t="e">
        <f>(G25-act!G39)/(begr!#REF!+begr!#REF!)</f>
        <v>#REF!</v>
      </c>
      <c r="H68" s="1582"/>
      <c r="I68" s="570" t="e">
        <f>(I25-act!I39)/(begr!F19+begr!F33)</f>
        <v>#DIV/0!</v>
      </c>
      <c r="J68" s="570" t="e">
        <f>(J25-act!J39)/(begr!G19+begr!G33)</f>
        <v>#DIV/0!</v>
      </c>
      <c r="K68" s="570" t="e">
        <f>(K25-act!K39)/(begr!H19+begr!H33)</f>
        <v>#DIV/0!</v>
      </c>
      <c r="L68" s="570" t="e">
        <f>(L25-act!L39)/(begr!I19+begr!I33)</f>
        <v>#DIV/0!</v>
      </c>
      <c r="M68" s="570" t="e">
        <f>(M25-act!M39)/(begr!J19+begr!J33)</f>
        <v>#DIV/0!</v>
      </c>
      <c r="N68" s="570" t="e">
        <f>(N25-act!N39)/(begr!K19+begr!K33)</f>
        <v>#DIV/0!</v>
      </c>
      <c r="O68" s="494"/>
      <c r="P68" s="490"/>
      <c r="Q68" s="472"/>
    </row>
    <row r="69" spans="2:17" x14ac:dyDescent="0.2">
      <c r="B69" s="76"/>
      <c r="C69" s="191"/>
      <c r="D69" s="191"/>
      <c r="E69" s="191"/>
      <c r="F69" s="191"/>
      <c r="G69" s="191"/>
      <c r="H69" s="191"/>
      <c r="I69" s="191"/>
      <c r="J69" s="191"/>
      <c r="K69" s="191"/>
      <c r="L69" s="191"/>
      <c r="M69" s="191"/>
      <c r="N69" s="191"/>
      <c r="O69" s="191"/>
      <c r="P69" s="78"/>
    </row>
    <row r="70" spans="2:17" x14ac:dyDescent="0.2">
      <c r="B70" s="76"/>
      <c r="C70" s="77"/>
      <c r="D70" s="77"/>
      <c r="E70" s="77"/>
      <c r="F70" s="77"/>
      <c r="G70" s="77"/>
      <c r="H70" s="77"/>
      <c r="I70" s="77"/>
      <c r="J70" s="77"/>
      <c r="K70" s="77"/>
      <c r="L70" s="77"/>
      <c r="M70" s="77"/>
      <c r="N70" s="77"/>
      <c r="O70" s="77"/>
      <c r="P70" s="78"/>
    </row>
    <row r="71" spans="2:17" x14ac:dyDescent="0.2">
      <c r="B71" s="86"/>
      <c r="C71" s="83"/>
      <c r="D71" s="491"/>
      <c r="E71" s="491"/>
      <c r="F71" s="83"/>
      <c r="G71" s="83"/>
      <c r="H71" s="83"/>
      <c r="I71" s="492"/>
      <c r="J71" s="492"/>
      <c r="K71" s="492"/>
      <c r="L71" s="492"/>
      <c r="M71" s="492"/>
      <c r="N71" s="492"/>
      <c r="O71" s="654" t="s">
        <v>429</v>
      </c>
      <c r="P71" s="85"/>
    </row>
    <row r="72" spans="2:17" x14ac:dyDescent="0.2">
      <c r="B72" s="194"/>
      <c r="C72" s="194"/>
      <c r="D72" s="194"/>
      <c r="E72" s="194"/>
      <c r="F72" s="194"/>
      <c r="G72" s="194"/>
      <c r="H72" s="194"/>
      <c r="I72" s="194"/>
      <c r="J72" s="194"/>
      <c r="K72" s="194"/>
      <c r="L72" s="194"/>
      <c r="M72" s="194"/>
      <c r="N72" s="194"/>
      <c r="O72" s="194"/>
      <c r="P72" s="194"/>
    </row>
    <row r="73" spans="2:17" x14ac:dyDescent="0.2">
      <c r="B73" s="194"/>
      <c r="C73" s="194"/>
      <c r="D73" s="194"/>
      <c r="E73" s="194"/>
      <c r="F73" s="194"/>
      <c r="G73" s="194"/>
      <c r="H73" s="194"/>
      <c r="I73" s="194"/>
      <c r="J73" s="194"/>
      <c r="K73" s="194"/>
      <c r="L73" s="194"/>
      <c r="M73" s="194"/>
      <c r="N73" s="194"/>
      <c r="O73" s="194"/>
      <c r="P73" s="194"/>
    </row>
    <row r="74" spans="2:17" s="8" customFormat="1" ht="18.75" x14ac:dyDescent="0.3">
      <c r="B74" s="194"/>
      <c r="C74" s="194"/>
      <c r="D74" s="194"/>
      <c r="E74" s="194"/>
      <c r="F74" s="194"/>
      <c r="G74" s="194"/>
      <c r="H74" s="194"/>
      <c r="I74" s="194"/>
      <c r="J74" s="194"/>
      <c r="K74" s="194"/>
      <c r="L74" s="194"/>
      <c r="M74" s="194"/>
      <c r="N74" s="194"/>
      <c r="O74" s="194"/>
      <c r="P74" s="194"/>
      <c r="Q74" s="475"/>
    </row>
    <row r="75" spans="2:17" x14ac:dyDescent="0.2">
      <c r="B75" s="194"/>
      <c r="C75" s="194"/>
      <c r="D75" s="194"/>
      <c r="E75" s="194"/>
      <c r="F75" s="194"/>
      <c r="G75" s="194"/>
      <c r="H75" s="194"/>
      <c r="I75" s="194"/>
      <c r="J75" s="194"/>
      <c r="K75" s="194"/>
      <c r="L75" s="194"/>
      <c r="M75" s="194"/>
      <c r="N75" s="194"/>
      <c r="O75" s="194"/>
      <c r="P75" s="194"/>
    </row>
    <row r="76" spans="2:17" x14ac:dyDescent="0.2">
      <c r="B76" s="194"/>
      <c r="C76" s="194"/>
      <c r="D76" s="194"/>
      <c r="E76" s="194"/>
      <c r="F76" s="194"/>
      <c r="G76" s="194"/>
      <c r="H76" s="194"/>
      <c r="I76" s="194"/>
      <c r="J76" s="194"/>
      <c r="K76" s="194"/>
      <c r="L76" s="194"/>
      <c r="M76" s="194"/>
      <c r="N76" s="194"/>
      <c r="O76" s="194"/>
      <c r="P76" s="194"/>
    </row>
    <row r="77" spans="2:17" x14ac:dyDescent="0.2">
      <c r="B77" s="194"/>
      <c r="C77" s="194"/>
      <c r="D77" s="194"/>
      <c r="E77" s="194"/>
      <c r="F77" s="194"/>
      <c r="G77" s="194"/>
      <c r="H77" s="194"/>
      <c r="I77" s="194"/>
      <c r="J77" s="194"/>
      <c r="K77" s="194"/>
      <c r="L77" s="194"/>
      <c r="M77" s="194"/>
      <c r="N77" s="194"/>
      <c r="O77" s="194"/>
      <c r="P77" s="194"/>
    </row>
    <row r="78" spans="2:17" x14ac:dyDescent="0.2">
      <c r="B78" s="194"/>
      <c r="C78" s="194"/>
      <c r="D78" s="194"/>
      <c r="E78" s="194"/>
      <c r="F78" s="194"/>
      <c r="G78" s="194"/>
      <c r="H78" s="194"/>
      <c r="I78" s="194"/>
      <c r="J78" s="194"/>
      <c r="K78" s="194"/>
      <c r="L78" s="194"/>
      <c r="M78" s="194"/>
      <c r="N78" s="194"/>
      <c r="O78" s="194"/>
      <c r="P78" s="194"/>
    </row>
    <row r="79" spans="2:17" s="114" customFormat="1" x14ac:dyDescent="0.2">
      <c r="B79" s="196"/>
      <c r="C79" s="196"/>
      <c r="D79" s="196"/>
      <c r="E79" s="196"/>
      <c r="F79" s="196"/>
      <c r="G79" s="196"/>
      <c r="H79" s="196"/>
      <c r="I79" s="196"/>
      <c r="J79" s="196"/>
      <c r="K79" s="196"/>
      <c r="L79" s="196"/>
      <c r="M79" s="196"/>
      <c r="N79" s="196"/>
      <c r="O79" s="196"/>
      <c r="P79" s="196"/>
      <c r="Q79" s="476"/>
    </row>
    <row r="80" spans="2:17" x14ac:dyDescent="0.2">
      <c r="B80" s="194"/>
      <c r="C80" s="194"/>
      <c r="D80" s="194"/>
      <c r="E80" s="194"/>
      <c r="F80" s="194"/>
      <c r="G80" s="194"/>
      <c r="H80" s="194"/>
      <c r="I80" s="194"/>
      <c r="J80" s="194"/>
      <c r="K80" s="194"/>
      <c r="L80" s="194"/>
      <c r="M80" s="194"/>
      <c r="N80" s="194"/>
      <c r="O80" s="194"/>
      <c r="P80" s="194"/>
    </row>
    <row r="81" spans="2:17" x14ac:dyDescent="0.2">
      <c r="B81" s="194"/>
      <c r="C81" s="194"/>
      <c r="D81" s="194"/>
      <c r="E81" s="194"/>
      <c r="F81" s="194"/>
      <c r="G81" s="194"/>
      <c r="H81" s="194"/>
      <c r="I81" s="194"/>
      <c r="J81" s="194"/>
      <c r="K81" s="194"/>
      <c r="L81" s="194"/>
      <c r="M81" s="194"/>
      <c r="N81" s="194"/>
      <c r="O81" s="194"/>
      <c r="P81" s="194"/>
    </row>
    <row r="82" spans="2:17" x14ac:dyDescent="0.2">
      <c r="B82" s="194"/>
      <c r="C82" s="194"/>
      <c r="D82" s="194"/>
      <c r="E82" s="194"/>
      <c r="F82" s="194"/>
      <c r="G82" s="194"/>
      <c r="H82" s="194"/>
      <c r="I82" s="194"/>
      <c r="J82" s="194"/>
      <c r="K82" s="194"/>
      <c r="L82" s="194"/>
      <c r="M82" s="194"/>
      <c r="N82" s="194"/>
      <c r="O82" s="194"/>
      <c r="P82" s="194"/>
    </row>
    <row r="83" spans="2:17" x14ac:dyDescent="0.2">
      <c r="B83" s="194"/>
      <c r="C83" s="194"/>
      <c r="D83" s="194"/>
      <c r="E83" s="194"/>
      <c r="F83" s="194"/>
      <c r="G83" s="194"/>
      <c r="H83" s="194"/>
      <c r="I83" s="194"/>
      <c r="J83" s="194"/>
      <c r="K83" s="194"/>
      <c r="L83" s="194"/>
      <c r="M83" s="194"/>
      <c r="N83" s="194"/>
      <c r="O83" s="194"/>
      <c r="P83" s="194"/>
    </row>
    <row r="84" spans="2:17" s="114" customFormat="1" x14ac:dyDescent="0.2">
      <c r="B84" s="196"/>
      <c r="C84" s="196"/>
      <c r="D84" s="196"/>
      <c r="E84" s="196"/>
      <c r="F84" s="196"/>
      <c r="G84" s="196"/>
      <c r="H84" s="196"/>
      <c r="I84" s="196"/>
      <c r="J84" s="196"/>
      <c r="K84" s="196"/>
      <c r="L84" s="196"/>
      <c r="M84" s="196"/>
      <c r="N84" s="196"/>
      <c r="O84" s="196"/>
      <c r="P84" s="196"/>
      <c r="Q84" s="476"/>
    </row>
    <row r="85" spans="2:17" x14ac:dyDescent="0.2">
      <c r="B85" s="194"/>
      <c r="C85" s="194"/>
      <c r="D85" s="194"/>
      <c r="E85" s="194"/>
      <c r="F85" s="194"/>
      <c r="G85" s="194"/>
      <c r="H85" s="194"/>
      <c r="I85" s="194"/>
      <c r="J85" s="194"/>
      <c r="K85" s="194"/>
      <c r="L85" s="194"/>
      <c r="M85" s="194"/>
      <c r="N85" s="194"/>
      <c r="O85" s="194"/>
      <c r="P85" s="194"/>
    </row>
    <row r="86" spans="2:17" x14ac:dyDescent="0.2">
      <c r="B86" s="194"/>
      <c r="C86" s="194"/>
      <c r="D86" s="194"/>
      <c r="E86" s="194"/>
      <c r="F86" s="194"/>
      <c r="G86" s="194"/>
      <c r="H86" s="194"/>
      <c r="I86" s="194"/>
      <c r="J86" s="194"/>
      <c r="K86" s="194"/>
      <c r="L86" s="194"/>
      <c r="M86" s="194"/>
      <c r="N86" s="194"/>
      <c r="O86" s="194"/>
      <c r="P86" s="194"/>
    </row>
    <row r="87" spans="2:17" x14ac:dyDescent="0.2">
      <c r="B87" s="194"/>
      <c r="C87" s="194"/>
      <c r="D87" s="194"/>
      <c r="E87" s="194"/>
      <c r="F87" s="194"/>
      <c r="G87" s="194"/>
      <c r="H87" s="194"/>
      <c r="I87" s="194"/>
      <c r="J87" s="194"/>
      <c r="K87" s="194"/>
      <c r="L87" s="194"/>
      <c r="M87" s="194"/>
      <c r="N87" s="194"/>
      <c r="O87" s="194"/>
      <c r="P87" s="194"/>
    </row>
    <row r="88" spans="2:17" x14ac:dyDescent="0.2">
      <c r="B88" s="194"/>
      <c r="C88" s="194"/>
      <c r="D88" s="194"/>
      <c r="E88" s="194"/>
      <c r="F88" s="194"/>
      <c r="G88" s="194"/>
      <c r="H88" s="194"/>
      <c r="I88" s="194"/>
      <c r="J88" s="194"/>
      <c r="K88" s="194"/>
      <c r="L88" s="194"/>
      <c r="M88" s="194"/>
      <c r="N88" s="194"/>
      <c r="O88" s="194"/>
      <c r="P88" s="194"/>
    </row>
    <row r="89" spans="2:17" s="114" customFormat="1" x14ac:dyDescent="0.2">
      <c r="B89" s="196"/>
      <c r="C89" s="196"/>
      <c r="D89" s="196"/>
      <c r="E89" s="196"/>
      <c r="F89" s="196"/>
      <c r="G89" s="196"/>
      <c r="H89" s="196"/>
      <c r="I89" s="196"/>
      <c r="J89" s="196"/>
      <c r="K89" s="196"/>
      <c r="L89" s="196"/>
      <c r="M89" s="196"/>
      <c r="N89" s="196"/>
      <c r="O89" s="196"/>
      <c r="P89" s="196"/>
      <c r="Q89" s="476"/>
    </row>
    <row r="90" spans="2:17" x14ac:dyDescent="0.2">
      <c r="B90" s="194"/>
      <c r="C90" s="194"/>
      <c r="D90" s="194"/>
      <c r="E90" s="194"/>
      <c r="F90" s="194"/>
      <c r="G90" s="194"/>
      <c r="H90" s="194"/>
      <c r="I90" s="194"/>
      <c r="J90" s="194"/>
      <c r="K90" s="194"/>
      <c r="L90" s="194"/>
      <c r="M90" s="194"/>
      <c r="N90" s="194"/>
      <c r="O90" s="194"/>
      <c r="P90" s="194"/>
    </row>
    <row r="91" spans="2:17" x14ac:dyDescent="0.2">
      <c r="B91" s="194"/>
      <c r="C91" s="194"/>
      <c r="D91" s="194"/>
      <c r="E91" s="194"/>
      <c r="F91" s="194"/>
      <c r="G91" s="194"/>
      <c r="H91" s="194"/>
      <c r="I91" s="194"/>
      <c r="J91" s="194"/>
      <c r="K91" s="194"/>
      <c r="L91" s="194"/>
      <c r="M91" s="194"/>
      <c r="N91" s="194"/>
      <c r="O91" s="194"/>
      <c r="P91" s="194"/>
    </row>
    <row r="92" spans="2:17" x14ac:dyDescent="0.2">
      <c r="B92" s="194"/>
      <c r="C92" s="194"/>
      <c r="D92" s="194"/>
      <c r="E92" s="194"/>
      <c r="F92" s="194"/>
      <c r="G92" s="194"/>
      <c r="H92" s="194"/>
      <c r="I92" s="194"/>
      <c r="J92" s="194"/>
      <c r="K92" s="194"/>
      <c r="L92" s="194"/>
      <c r="M92" s="194"/>
      <c r="N92" s="194"/>
      <c r="O92" s="194"/>
      <c r="P92" s="194"/>
    </row>
    <row r="93" spans="2:17" x14ac:dyDescent="0.2">
      <c r="B93" s="194"/>
      <c r="C93" s="194"/>
      <c r="D93" s="194"/>
      <c r="E93" s="194"/>
      <c r="F93" s="194"/>
      <c r="G93" s="194"/>
      <c r="H93" s="194"/>
      <c r="I93" s="194"/>
      <c r="J93" s="194"/>
      <c r="K93" s="194"/>
      <c r="L93" s="194"/>
      <c r="M93" s="194"/>
      <c r="N93" s="194"/>
      <c r="O93" s="194"/>
      <c r="P93" s="194"/>
    </row>
    <row r="94" spans="2:17" s="114" customFormat="1" x14ac:dyDescent="0.2">
      <c r="B94" s="196"/>
      <c r="C94" s="196"/>
      <c r="D94" s="196"/>
      <c r="E94" s="196"/>
      <c r="F94" s="196"/>
      <c r="G94" s="196"/>
      <c r="H94" s="196"/>
      <c r="I94" s="196"/>
      <c r="J94" s="196"/>
      <c r="K94" s="196"/>
      <c r="L94" s="196"/>
      <c r="M94" s="196"/>
      <c r="N94" s="196"/>
      <c r="O94" s="196"/>
      <c r="P94" s="196"/>
      <c r="Q94" s="476"/>
    </row>
    <row r="95" spans="2:17" x14ac:dyDescent="0.2">
      <c r="B95" s="194"/>
      <c r="C95" s="194"/>
      <c r="D95" s="194"/>
      <c r="E95" s="194"/>
      <c r="F95" s="194"/>
      <c r="G95" s="194"/>
      <c r="H95" s="194"/>
      <c r="I95" s="194"/>
      <c r="J95" s="194"/>
      <c r="K95" s="194"/>
      <c r="L95" s="194"/>
      <c r="M95" s="194"/>
      <c r="N95" s="194"/>
      <c r="O95" s="194"/>
      <c r="P95" s="194"/>
    </row>
    <row r="96" spans="2:17" x14ac:dyDescent="0.2">
      <c r="B96" s="194"/>
      <c r="C96" s="194"/>
      <c r="D96" s="194"/>
      <c r="E96" s="194"/>
      <c r="F96" s="194"/>
      <c r="G96" s="194"/>
      <c r="H96" s="194"/>
      <c r="I96" s="194"/>
      <c r="J96" s="194"/>
      <c r="K96" s="194"/>
      <c r="L96" s="194"/>
      <c r="M96" s="194"/>
      <c r="N96" s="194"/>
      <c r="O96" s="194"/>
      <c r="P96" s="194"/>
    </row>
    <row r="97" spans="2:17" x14ac:dyDescent="0.2">
      <c r="B97" s="194"/>
      <c r="C97" s="194"/>
      <c r="D97" s="194"/>
      <c r="E97" s="194"/>
      <c r="F97" s="194"/>
      <c r="G97" s="194"/>
      <c r="H97" s="194"/>
      <c r="I97" s="194"/>
      <c r="J97" s="194"/>
      <c r="K97" s="194"/>
      <c r="L97" s="194"/>
      <c r="M97" s="194"/>
      <c r="N97" s="194"/>
      <c r="O97" s="194"/>
      <c r="P97" s="194"/>
    </row>
    <row r="98" spans="2:17" x14ac:dyDescent="0.2">
      <c r="B98" s="194"/>
      <c r="C98" s="194"/>
      <c r="D98" s="194"/>
      <c r="E98" s="194"/>
      <c r="F98" s="194"/>
      <c r="G98" s="194"/>
      <c r="H98" s="194"/>
      <c r="I98" s="194"/>
      <c r="J98" s="194"/>
      <c r="K98" s="194"/>
      <c r="L98" s="194"/>
      <c r="M98" s="194"/>
      <c r="N98" s="194"/>
      <c r="O98" s="194"/>
      <c r="P98" s="194"/>
    </row>
    <row r="99" spans="2:17" s="114" customFormat="1" x14ac:dyDescent="0.2">
      <c r="B99" s="196"/>
      <c r="C99" s="196"/>
      <c r="D99" s="196"/>
      <c r="E99" s="196"/>
      <c r="F99" s="196"/>
      <c r="G99" s="196"/>
      <c r="H99" s="196"/>
      <c r="I99" s="196"/>
      <c r="J99" s="196"/>
      <c r="K99" s="196"/>
      <c r="L99" s="196"/>
      <c r="M99" s="196"/>
      <c r="N99" s="196"/>
      <c r="O99" s="196"/>
      <c r="P99" s="196"/>
      <c r="Q99" s="476"/>
    </row>
    <row r="100" spans="2:17" x14ac:dyDescent="0.2">
      <c r="B100" s="194"/>
      <c r="C100" s="194"/>
      <c r="D100" s="194"/>
      <c r="E100" s="194"/>
      <c r="F100" s="194"/>
      <c r="G100" s="194"/>
      <c r="H100" s="194"/>
      <c r="I100" s="194"/>
      <c r="J100" s="194"/>
      <c r="K100" s="194"/>
      <c r="L100" s="194"/>
      <c r="M100" s="194"/>
      <c r="N100" s="194"/>
      <c r="O100" s="194"/>
      <c r="P100" s="194"/>
    </row>
    <row r="101" spans="2:17" x14ac:dyDescent="0.2">
      <c r="B101" s="194"/>
      <c r="C101" s="194"/>
      <c r="D101" s="194"/>
      <c r="E101" s="194"/>
      <c r="F101" s="194"/>
      <c r="G101" s="194"/>
      <c r="H101" s="194"/>
      <c r="I101" s="194"/>
      <c r="J101" s="194"/>
      <c r="K101" s="194"/>
      <c r="L101" s="194"/>
      <c r="M101" s="194"/>
      <c r="N101" s="194"/>
      <c r="O101" s="194"/>
      <c r="P101" s="194"/>
    </row>
    <row r="102" spans="2:17" x14ac:dyDescent="0.2">
      <c r="B102" s="194"/>
      <c r="C102" s="194"/>
      <c r="D102" s="194"/>
      <c r="E102" s="194"/>
      <c r="F102" s="194"/>
      <c r="G102" s="194"/>
      <c r="H102" s="194"/>
      <c r="I102" s="194"/>
      <c r="J102" s="194"/>
      <c r="K102" s="194"/>
      <c r="L102" s="194"/>
      <c r="M102" s="194"/>
      <c r="N102" s="194"/>
      <c r="O102" s="194"/>
      <c r="P102" s="194"/>
    </row>
    <row r="103" spans="2:17" x14ac:dyDescent="0.2">
      <c r="B103" s="194"/>
      <c r="C103" s="194"/>
      <c r="D103" s="194"/>
      <c r="E103" s="194"/>
      <c r="F103" s="194"/>
      <c r="G103" s="194"/>
      <c r="H103" s="194"/>
      <c r="I103" s="194"/>
      <c r="J103" s="194"/>
      <c r="K103" s="194"/>
      <c r="L103" s="194"/>
      <c r="M103" s="194"/>
      <c r="N103" s="194"/>
      <c r="O103" s="194"/>
      <c r="P103" s="194"/>
    </row>
    <row r="104" spans="2:17" s="114" customFormat="1" x14ac:dyDescent="0.2">
      <c r="B104" s="196"/>
      <c r="C104" s="196"/>
      <c r="D104" s="196"/>
      <c r="E104" s="196"/>
      <c r="F104" s="196"/>
      <c r="G104" s="196"/>
      <c r="H104" s="196"/>
      <c r="I104" s="196"/>
      <c r="J104" s="196"/>
      <c r="K104" s="196"/>
      <c r="L104" s="196"/>
      <c r="M104" s="196"/>
      <c r="N104" s="196"/>
      <c r="O104" s="196"/>
      <c r="P104" s="196"/>
      <c r="Q104" s="476"/>
    </row>
    <row r="105" spans="2:17" x14ac:dyDescent="0.2">
      <c r="B105" s="194"/>
      <c r="C105" s="194"/>
      <c r="D105" s="194"/>
      <c r="E105" s="194"/>
      <c r="F105" s="194"/>
      <c r="G105" s="194"/>
      <c r="H105" s="194"/>
      <c r="I105" s="194"/>
      <c r="J105" s="194"/>
      <c r="K105" s="194"/>
      <c r="L105" s="194"/>
      <c r="M105" s="194"/>
      <c r="N105" s="194"/>
      <c r="O105" s="194"/>
      <c r="P105" s="194"/>
    </row>
    <row r="106" spans="2:17" x14ac:dyDescent="0.2">
      <c r="B106" s="194"/>
      <c r="C106" s="194"/>
      <c r="D106" s="194"/>
      <c r="E106" s="194"/>
      <c r="F106" s="194"/>
      <c r="G106" s="194"/>
      <c r="H106" s="194"/>
      <c r="I106" s="194"/>
      <c r="J106" s="194"/>
      <c r="K106" s="194"/>
      <c r="L106" s="194"/>
      <c r="M106" s="194"/>
      <c r="N106" s="194"/>
      <c r="O106" s="194"/>
      <c r="P106" s="194"/>
    </row>
    <row r="107" spans="2:17" x14ac:dyDescent="0.2">
      <c r="B107" s="194"/>
      <c r="C107" s="194"/>
      <c r="D107" s="194"/>
      <c r="E107" s="194"/>
      <c r="F107" s="194"/>
      <c r="G107" s="194"/>
      <c r="H107" s="194"/>
      <c r="I107" s="194"/>
      <c r="J107" s="194"/>
      <c r="K107" s="194"/>
      <c r="L107" s="194"/>
      <c r="M107" s="194"/>
      <c r="N107" s="194"/>
      <c r="O107" s="194"/>
      <c r="P107" s="194"/>
    </row>
    <row r="108" spans="2:17" x14ac:dyDescent="0.2">
      <c r="B108" s="194"/>
      <c r="C108" s="194"/>
      <c r="D108" s="194"/>
      <c r="E108" s="194"/>
      <c r="F108" s="194"/>
      <c r="G108" s="194"/>
      <c r="H108" s="194"/>
      <c r="I108" s="194"/>
      <c r="J108" s="194"/>
      <c r="K108" s="194"/>
      <c r="L108" s="194"/>
      <c r="M108" s="194"/>
      <c r="N108" s="194"/>
      <c r="O108" s="194"/>
      <c r="P108" s="194"/>
    </row>
    <row r="109" spans="2:17" x14ac:dyDescent="0.2">
      <c r="B109" s="194"/>
      <c r="C109" s="194"/>
      <c r="D109" s="194"/>
      <c r="E109" s="194"/>
      <c r="F109" s="194"/>
      <c r="G109" s="194"/>
      <c r="H109" s="194"/>
      <c r="I109" s="194"/>
      <c r="J109" s="194"/>
      <c r="K109" s="194"/>
      <c r="L109" s="194"/>
      <c r="M109" s="194"/>
      <c r="N109" s="194"/>
      <c r="O109" s="194"/>
      <c r="P109" s="194"/>
    </row>
    <row r="110" spans="2:17" x14ac:dyDescent="0.2">
      <c r="B110" s="194"/>
      <c r="C110" s="194"/>
      <c r="D110" s="194"/>
      <c r="E110" s="194"/>
      <c r="F110" s="194"/>
      <c r="G110" s="194"/>
      <c r="H110" s="194"/>
      <c r="I110" s="194"/>
      <c r="J110" s="194"/>
      <c r="K110" s="194"/>
      <c r="L110" s="194"/>
      <c r="M110" s="194"/>
      <c r="N110" s="194"/>
      <c r="O110" s="194"/>
      <c r="P110" s="194"/>
    </row>
    <row r="111" spans="2:17" x14ac:dyDescent="0.2">
      <c r="B111" s="194"/>
      <c r="C111" s="194"/>
      <c r="D111" s="194"/>
      <c r="E111" s="194"/>
      <c r="F111" s="194"/>
      <c r="G111" s="194"/>
      <c r="H111" s="194"/>
      <c r="I111" s="194"/>
      <c r="J111" s="194"/>
      <c r="K111" s="194"/>
      <c r="L111" s="194"/>
      <c r="M111" s="194"/>
      <c r="N111" s="194"/>
      <c r="O111" s="194"/>
      <c r="P111" s="194"/>
    </row>
    <row r="112" spans="2:17" x14ac:dyDescent="0.2">
      <c r="B112" s="194"/>
      <c r="C112" s="194"/>
      <c r="D112" s="194"/>
      <c r="E112" s="194"/>
      <c r="F112" s="194"/>
      <c r="G112" s="194"/>
      <c r="H112" s="194"/>
      <c r="I112" s="194"/>
      <c r="J112" s="194"/>
      <c r="K112" s="194"/>
      <c r="L112" s="194"/>
      <c r="M112" s="194"/>
      <c r="N112" s="194"/>
      <c r="O112" s="194"/>
      <c r="P112" s="194"/>
    </row>
    <row r="113" spans="2:17" x14ac:dyDescent="0.2">
      <c r="B113" s="194"/>
      <c r="C113" s="194"/>
      <c r="D113" s="194"/>
      <c r="E113" s="194"/>
      <c r="F113" s="194"/>
      <c r="G113" s="194"/>
      <c r="H113" s="194"/>
      <c r="I113" s="194"/>
      <c r="J113" s="194"/>
      <c r="K113" s="194"/>
      <c r="L113" s="194"/>
      <c r="M113" s="194"/>
      <c r="N113" s="194"/>
      <c r="O113" s="194"/>
      <c r="P113" s="194"/>
    </row>
    <row r="115" spans="2:17" s="114" customFormat="1" x14ac:dyDescent="0.2">
      <c r="I115" s="117"/>
      <c r="J115" s="117"/>
      <c r="K115" s="117"/>
      <c r="L115" s="117"/>
      <c r="M115" s="117"/>
      <c r="N115" s="117"/>
      <c r="O115" s="117"/>
      <c r="Q115" s="476"/>
    </row>
    <row r="120" spans="2:17" s="114" customFormat="1" x14ac:dyDescent="0.2">
      <c r="I120" s="117"/>
      <c r="J120" s="117"/>
      <c r="K120" s="117"/>
      <c r="L120" s="117"/>
      <c r="M120" s="117"/>
      <c r="N120" s="117"/>
      <c r="O120" s="117"/>
      <c r="Q120" s="476"/>
    </row>
    <row r="125" spans="2:17" s="114" customFormat="1" x14ac:dyDescent="0.2">
      <c r="I125" s="117"/>
      <c r="J125" s="117"/>
      <c r="K125" s="117"/>
      <c r="L125" s="117"/>
      <c r="M125" s="117"/>
      <c r="N125" s="117"/>
      <c r="O125" s="117"/>
      <c r="Q125" s="476"/>
    </row>
    <row r="130" spans="4:17" s="114" customFormat="1" x14ac:dyDescent="0.2">
      <c r="I130" s="117"/>
      <c r="J130" s="117"/>
      <c r="K130" s="117"/>
      <c r="L130" s="117"/>
      <c r="M130" s="117"/>
      <c r="N130" s="117"/>
      <c r="O130" s="117"/>
      <c r="Q130" s="476"/>
    </row>
    <row r="135" spans="4:17" s="114" customFormat="1" x14ac:dyDescent="0.2">
      <c r="I135" s="117"/>
      <c r="J135" s="117"/>
      <c r="K135" s="117"/>
      <c r="L135" s="117"/>
      <c r="M135" s="117"/>
      <c r="N135" s="117"/>
      <c r="O135" s="117"/>
      <c r="Q135" s="476"/>
    </row>
    <row r="138" spans="4:17" x14ac:dyDescent="0.2">
      <c r="D138" s="114"/>
      <c r="E138" s="114"/>
      <c r="F138" s="114"/>
      <c r="G138" s="114"/>
      <c r="H138" s="114"/>
      <c r="I138" s="117"/>
      <c r="J138" s="117"/>
      <c r="K138" s="117"/>
    </row>
    <row r="139" spans="4:17" x14ac:dyDescent="0.2">
      <c r="D139" s="114"/>
      <c r="E139" s="114"/>
      <c r="F139" s="114"/>
      <c r="G139" s="114"/>
      <c r="H139" s="114"/>
      <c r="I139" s="117"/>
      <c r="J139" s="117"/>
      <c r="K139" s="117"/>
    </row>
    <row r="140" spans="4:17" s="114" customFormat="1" x14ac:dyDescent="0.2">
      <c r="I140" s="117"/>
      <c r="J140" s="117"/>
      <c r="K140" s="117"/>
      <c r="L140" s="117"/>
      <c r="M140" s="117"/>
      <c r="N140" s="117"/>
      <c r="O140" s="117"/>
      <c r="Q140" s="476"/>
    </row>
  </sheetData>
  <sheetProtection algorithmName="SHA-512" hashValue="LHSOavNMyjCcytH3HCrHsTSt+PxTaOqYzuNmeor0cBpm3iH5MBYvvfKD8a1jDswT37aXLQdiPjXrG0T8/ZuB1w==" saltValue="4SDpLKdjfE4RnEwqEqYM2g==" spinCount="100000" sheet="1" objects="1" scenarios="1"/>
  <phoneticPr fontId="0" type="noConversion"/>
  <hyperlinks>
    <hyperlink ref="O71" r:id="rId1"/>
  </hyperlinks>
  <pageMargins left="0.75" right="0.75" top="1" bottom="1" header="0.5" footer="0.5"/>
  <pageSetup paperSize="9" scale="50" orientation="landscape" r:id="rId2"/>
  <headerFooter alignWithMargins="0">
    <oddHeader>&amp;L&amp;"Arial,Vet"&amp;9&amp;F&amp;R&amp;"Arial,Vet"&amp;9&amp;A</oddHeader>
    <oddFooter>&amp;L&amp;"Arial,Vet"&amp;9be.keizer@wxs.nl&amp;C&amp;"Arial,Vet"&amp;9pagina &amp;P&amp;R&amp;"Arial,Vet"&amp;9&amp;D</oddFooter>
  </headerFooter>
  <colBreaks count="1" manualBreakCount="1">
    <brk id="16" max="1048575" man="1"/>
  </colBreaks>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zoomScale="85" zoomScaleNormal="85" workbookViewId="0">
      <selection activeCell="B2" sqref="B2"/>
    </sheetView>
  </sheetViews>
  <sheetFormatPr defaultRowHeight="12.75" x14ac:dyDescent="0.2"/>
  <cols>
    <col min="1" max="1" width="3.7109375" style="495" customWidth="1"/>
    <col min="2" max="3" width="2.7109375" style="495" customWidth="1"/>
    <col min="4" max="4" width="45.7109375" style="495" customWidth="1"/>
    <col min="5" max="5" width="2.7109375" style="496" customWidth="1"/>
    <col min="6" max="11" width="16.85546875" style="496" customWidth="1"/>
    <col min="12" max="12" width="2.7109375" style="496" customWidth="1"/>
    <col min="13" max="13" width="2.7109375" style="495" customWidth="1"/>
    <col min="14" max="14" width="2.7109375" style="497" customWidth="1"/>
    <col min="15" max="15" width="2.7109375" style="495" customWidth="1"/>
    <col min="16" max="16" width="2.5703125" style="495" customWidth="1"/>
    <col min="17" max="21" width="10.7109375" style="495" customWidth="1"/>
    <col min="22" max="22" width="2.7109375" style="495" customWidth="1"/>
    <col min="23" max="16384" width="9.140625" style="495"/>
  </cols>
  <sheetData>
    <row r="1" spans="2:14" ht="12" customHeight="1" x14ac:dyDescent="0.2"/>
    <row r="2" spans="2:14" x14ac:dyDescent="0.2">
      <c r="B2" s="72"/>
      <c r="C2" s="73"/>
      <c r="D2" s="73"/>
      <c r="E2" s="74"/>
      <c r="F2" s="74"/>
      <c r="G2" s="74"/>
      <c r="H2" s="74"/>
      <c r="I2" s="74"/>
      <c r="J2" s="74"/>
      <c r="K2" s="74"/>
      <c r="L2" s="74"/>
      <c r="M2" s="75"/>
    </row>
    <row r="3" spans="2:14" x14ac:dyDescent="0.2">
      <c r="B3" s="76"/>
      <c r="C3" s="77"/>
      <c r="D3" s="77"/>
      <c r="E3" s="70"/>
      <c r="F3" s="70"/>
      <c r="G3" s="70"/>
      <c r="H3" s="70"/>
      <c r="I3" s="70"/>
      <c r="J3" s="70"/>
      <c r="K3" s="70"/>
      <c r="L3" s="70"/>
      <c r="M3" s="78"/>
    </row>
    <row r="4" spans="2:14" s="502" customFormat="1" ht="18.75" x14ac:dyDescent="0.3">
      <c r="B4" s="498"/>
      <c r="C4" s="636" t="s">
        <v>71</v>
      </c>
      <c r="D4" s="216"/>
      <c r="E4" s="499"/>
      <c r="F4" s="500"/>
      <c r="G4" s="499"/>
      <c r="H4" s="499"/>
      <c r="I4" s="499"/>
      <c r="J4" s="499"/>
      <c r="K4" s="499"/>
      <c r="L4" s="499"/>
      <c r="M4" s="217"/>
      <c r="N4" s="501"/>
    </row>
    <row r="5" spans="2:14" s="505" customFormat="1" ht="18.75" x14ac:dyDescent="0.3">
      <c r="B5" s="479"/>
      <c r="C5" s="503" t="str">
        <f>'geg LO'!C5</f>
        <v xml:space="preserve">SWV VO </v>
      </c>
      <c r="D5" s="58"/>
      <c r="E5" s="87"/>
      <c r="F5" s="88"/>
      <c r="G5" s="87"/>
      <c r="H5" s="87"/>
      <c r="I5" s="87"/>
      <c r="J5" s="87"/>
      <c r="K5" s="87"/>
      <c r="L5" s="87"/>
      <c r="M5" s="89"/>
      <c r="N5" s="504"/>
    </row>
    <row r="6" spans="2:14" x14ac:dyDescent="0.2">
      <c r="B6" s="29"/>
      <c r="C6" s="480"/>
      <c r="D6" s="77"/>
      <c r="E6" s="70"/>
      <c r="F6" s="70"/>
      <c r="G6" s="70"/>
      <c r="H6" s="70"/>
      <c r="I6" s="70"/>
      <c r="J6" s="70"/>
      <c r="K6" s="70"/>
      <c r="L6" s="70"/>
      <c r="M6" s="78"/>
    </row>
    <row r="7" spans="2:14" x14ac:dyDescent="0.2">
      <c r="B7" s="29"/>
      <c r="C7" s="480"/>
      <c r="D7" s="77"/>
      <c r="E7" s="70"/>
      <c r="F7" s="70"/>
      <c r="G7" s="70"/>
      <c r="H7" s="70"/>
      <c r="I7" s="70"/>
      <c r="J7" s="70"/>
      <c r="K7" s="70"/>
      <c r="L7" s="70"/>
      <c r="M7" s="78"/>
    </row>
    <row r="8" spans="2:14" s="502" customFormat="1" x14ac:dyDescent="0.2">
      <c r="B8" s="482"/>
      <c r="C8" s="483"/>
      <c r="D8" s="506"/>
      <c r="E8" s="485"/>
      <c r="F8" s="616">
        <f>tab!E4</f>
        <v>2015</v>
      </c>
      <c r="G8" s="616">
        <f>tab!F4</f>
        <v>2016</v>
      </c>
      <c r="H8" s="616">
        <f>tab!G4</f>
        <v>2017</v>
      </c>
      <c r="I8" s="616">
        <f>tab!H4</f>
        <v>2018</v>
      </c>
      <c r="J8" s="616">
        <f>tab!I4</f>
        <v>2019</v>
      </c>
      <c r="K8" s="616">
        <f>tab!J4</f>
        <v>2020</v>
      </c>
      <c r="L8" s="485"/>
      <c r="M8" s="217"/>
      <c r="N8" s="501"/>
    </row>
    <row r="9" spans="2:14" x14ac:dyDescent="0.2">
      <c r="B9" s="80"/>
      <c r="C9" s="57"/>
      <c r="D9" s="56"/>
      <c r="E9" s="54"/>
      <c r="F9" s="54"/>
      <c r="G9" s="54"/>
      <c r="H9" s="54"/>
      <c r="I9" s="54"/>
      <c r="J9" s="54"/>
      <c r="K9" s="54"/>
      <c r="L9" s="54"/>
      <c r="M9" s="78"/>
    </row>
    <row r="10" spans="2:14" x14ac:dyDescent="0.2">
      <c r="B10" s="76"/>
      <c r="C10" s="507"/>
      <c r="D10" s="508"/>
      <c r="E10" s="79"/>
      <c r="F10" s="79"/>
      <c r="G10" s="79"/>
      <c r="H10" s="79"/>
      <c r="I10" s="79"/>
      <c r="J10" s="79"/>
      <c r="K10" s="79"/>
      <c r="L10" s="90"/>
      <c r="M10" s="78"/>
    </row>
    <row r="11" spans="2:14" s="513" customFormat="1" x14ac:dyDescent="0.2">
      <c r="B11" s="80"/>
      <c r="C11" s="509"/>
      <c r="D11" s="604" t="s">
        <v>229</v>
      </c>
      <c r="E11" s="201"/>
      <c r="F11" s="510">
        <f>bal!H22</f>
        <v>0</v>
      </c>
      <c r="G11" s="510">
        <f t="shared" ref="G11:K11" si="0">F51</f>
        <v>0</v>
      </c>
      <c r="H11" s="510">
        <f t="shared" si="0"/>
        <v>0</v>
      </c>
      <c r="I11" s="510">
        <f t="shared" si="0"/>
        <v>0</v>
      </c>
      <c r="J11" s="510">
        <f t="shared" si="0"/>
        <v>0</v>
      </c>
      <c r="K11" s="510">
        <f t="shared" si="0"/>
        <v>0</v>
      </c>
      <c r="L11" s="511"/>
      <c r="M11" s="91"/>
      <c r="N11" s="512"/>
    </row>
    <row r="12" spans="2:14" x14ac:dyDescent="0.2">
      <c r="B12" s="76"/>
      <c r="C12" s="81"/>
      <c r="D12" s="514"/>
      <c r="E12" s="69"/>
      <c r="F12" s="69"/>
      <c r="G12" s="69"/>
      <c r="H12" s="69"/>
      <c r="I12" s="69"/>
      <c r="J12" s="69"/>
      <c r="K12" s="69"/>
      <c r="L12" s="515"/>
      <c r="M12" s="78"/>
    </row>
    <row r="13" spans="2:14" x14ac:dyDescent="0.2">
      <c r="B13" s="76"/>
      <c r="C13" s="77"/>
      <c r="D13" s="77"/>
      <c r="E13" s="70"/>
      <c r="F13" s="70"/>
      <c r="G13" s="70"/>
      <c r="H13" s="70"/>
      <c r="I13" s="70"/>
      <c r="J13" s="70"/>
      <c r="K13" s="70"/>
      <c r="L13" s="70"/>
      <c r="M13" s="78"/>
    </row>
    <row r="14" spans="2:14" x14ac:dyDescent="0.2">
      <c r="B14" s="76"/>
      <c r="C14" s="507"/>
      <c r="D14" s="508"/>
      <c r="E14" s="79"/>
      <c r="F14" s="79"/>
      <c r="G14" s="79"/>
      <c r="H14" s="79"/>
      <c r="I14" s="79"/>
      <c r="J14" s="79"/>
      <c r="K14" s="79"/>
      <c r="L14" s="90"/>
      <c r="M14" s="78"/>
    </row>
    <row r="15" spans="2:14" x14ac:dyDescent="0.2">
      <c r="B15" s="76"/>
      <c r="C15" s="516"/>
      <c r="D15" s="604" t="s">
        <v>230</v>
      </c>
      <c r="E15" s="71"/>
      <c r="F15" s="71"/>
      <c r="G15" s="71"/>
      <c r="H15" s="71"/>
      <c r="I15" s="71"/>
      <c r="J15" s="71"/>
      <c r="K15" s="71"/>
      <c r="L15" s="92"/>
      <c r="M15" s="78"/>
    </row>
    <row r="16" spans="2:14" x14ac:dyDescent="0.2">
      <c r="B16" s="76"/>
      <c r="C16" s="516"/>
      <c r="D16" s="199"/>
      <c r="E16" s="71"/>
      <c r="F16" s="71"/>
      <c r="G16" s="71"/>
      <c r="H16" s="71"/>
      <c r="I16" s="71"/>
      <c r="J16" s="71"/>
      <c r="K16" s="71"/>
      <c r="L16" s="92"/>
      <c r="M16" s="78"/>
    </row>
    <row r="17" spans="2:17" x14ac:dyDescent="0.2">
      <c r="B17" s="76"/>
      <c r="C17" s="516"/>
      <c r="D17" s="191" t="s">
        <v>214</v>
      </c>
      <c r="E17" s="71"/>
      <c r="F17" s="517">
        <f>begr!F40</f>
        <v>0</v>
      </c>
      <c r="G17" s="517">
        <f>begr!G40</f>
        <v>0</v>
      </c>
      <c r="H17" s="517">
        <f>begr!H40</f>
        <v>0</v>
      </c>
      <c r="I17" s="517">
        <f>begr!I40</f>
        <v>0</v>
      </c>
      <c r="J17" s="517">
        <f>begr!J40</f>
        <v>0</v>
      </c>
      <c r="K17" s="517">
        <f>begr!K40</f>
        <v>0</v>
      </c>
      <c r="L17" s="92"/>
      <c r="M17" s="78"/>
    </row>
    <row r="18" spans="2:17" x14ac:dyDescent="0.2">
      <c r="B18" s="76"/>
      <c r="C18" s="516"/>
      <c r="D18" s="191"/>
      <c r="E18" s="71"/>
      <c r="F18" s="71"/>
      <c r="G18" s="71"/>
      <c r="H18" s="71"/>
      <c r="I18" s="71"/>
      <c r="J18" s="71"/>
      <c r="K18" s="71"/>
      <c r="L18" s="92"/>
      <c r="M18" s="78"/>
    </row>
    <row r="19" spans="2:17" x14ac:dyDescent="0.2">
      <c r="B19" s="76"/>
      <c r="C19" s="516"/>
      <c r="D19" s="191" t="s">
        <v>119</v>
      </c>
      <c r="E19" s="71"/>
      <c r="F19" s="68">
        <f>act!G34</f>
        <v>0</v>
      </c>
      <c r="G19" s="68">
        <f>act!H34</f>
        <v>0</v>
      </c>
      <c r="H19" s="68">
        <f>act!I34</f>
        <v>0</v>
      </c>
      <c r="I19" s="68">
        <f>act!J34</f>
        <v>0</v>
      </c>
      <c r="J19" s="68">
        <f>act!K34</f>
        <v>0</v>
      </c>
      <c r="K19" s="68">
        <f>act!L34</f>
        <v>0</v>
      </c>
      <c r="L19" s="92"/>
      <c r="M19" s="78"/>
    </row>
    <row r="20" spans="2:17" x14ac:dyDescent="0.2">
      <c r="B20" s="76"/>
      <c r="C20" s="516"/>
      <c r="D20" s="191"/>
      <c r="E20" s="71"/>
      <c r="F20" s="222"/>
      <c r="G20" s="222"/>
      <c r="H20" s="222"/>
      <c r="I20" s="222"/>
      <c r="J20" s="222"/>
      <c r="K20" s="222"/>
      <c r="L20" s="92"/>
      <c r="M20" s="78"/>
    </row>
    <row r="21" spans="2:17" x14ac:dyDescent="0.2">
      <c r="B21" s="76"/>
      <c r="C21" s="516"/>
      <c r="D21" s="518" t="s">
        <v>231</v>
      </c>
      <c r="E21" s="71"/>
      <c r="F21" s="222"/>
      <c r="G21" s="222"/>
      <c r="H21" s="222"/>
      <c r="I21" s="222"/>
      <c r="J21" s="222"/>
      <c r="K21" s="222"/>
      <c r="L21" s="92"/>
      <c r="M21" s="78"/>
    </row>
    <row r="22" spans="2:17" x14ac:dyDescent="0.2">
      <c r="B22" s="76"/>
      <c r="C22" s="516"/>
      <c r="D22" s="191" t="s">
        <v>232</v>
      </c>
      <c r="E22" s="71"/>
      <c r="F22" s="68">
        <f>bal!H19-bal!I19</f>
        <v>0</v>
      </c>
      <c r="G22" s="68">
        <f>bal!I19-bal!J19</f>
        <v>0</v>
      </c>
      <c r="H22" s="68">
        <f>bal!J19-bal!K19</f>
        <v>0</v>
      </c>
      <c r="I22" s="68">
        <f>bal!K19-bal!L19</f>
        <v>0</v>
      </c>
      <c r="J22" s="68">
        <f>bal!L19-bal!M19</f>
        <v>0</v>
      </c>
      <c r="K22" s="68">
        <f>bal!M19-bal!N19</f>
        <v>0</v>
      </c>
      <c r="L22" s="92"/>
      <c r="M22" s="78"/>
    </row>
    <row r="23" spans="2:17" x14ac:dyDescent="0.2">
      <c r="B23" s="76"/>
      <c r="C23" s="516"/>
      <c r="D23" s="191" t="s">
        <v>233</v>
      </c>
      <c r="E23" s="71"/>
      <c r="F23" s="68">
        <f>bal!H20-bal!I20</f>
        <v>0</v>
      </c>
      <c r="G23" s="68">
        <f>bal!I20-bal!J20</f>
        <v>0</v>
      </c>
      <c r="H23" s="68">
        <f>bal!J20-bal!K20</f>
        <v>0</v>
      </c>
      <c r="I23" s="68">
        <f>bal!K20-bal!L20</f>
        <v>0</v>
      </c>
      <c r="J23" s="68">
        <f>bal!L20-bal!M20</f>
        <v>0</v>
      </c>
      <c r="K23" s="68">
        <f>bal!M20-bal!N20</f>
        <v>0</v>
      </c>
      <c r="L23" s="92"/>
      <c r="M23" s="78"/>
      <c r="Q23" s="744"/>
    </row>
    <row r="24" spans="2:17" x14ac:dyDescent="0.2">
      <c r="B24" s="76"/>
      <c r="C24" s="516"/>
      <c r="D24" s="191" t="s">
        <v>234</v>
      </c>
      <c r="E24" s="71"/>
      <c r="F24" s="68">
        <f>bal!H21-bal!I21</f>
        <v>0</v>
      </c>
      <c r="G24" s="68">
        <f>bal!I21-bal!J21</f>
        <v>0</v>
      </c>
      <c r="H24" s="68">
        <f>bal!J21-bal!K21</f>
        <v>0</v>
      </c>
      <c r="I24" s="68">
        <f>bal!K21-bal!L21</f>
        <v>0</v>
      </c>
      <c r="J24" s="68">
        <f>bal!L21-bal!M21</f>
        <v>0</v>
      </c>
      <c r="K24" s="68">
        <f>bal!M21-bal!N21</f>
        <v>0</v>
      </c>
      <c r="L24" s="92"/>
      <c r="M24" s="78"/>
    </row>
    <row r="25" spans="2:17" x14ac:dyDescent="0.2">
      <c r="B25" s="76"/>
      <c r="C25" s="516"/>
      <c r="D25" s="191" t="s">
        <v>235</v>
      </c>
      <c r="E25" s="71"/>
      <c r="F25" s="68">
        <f>bal!I54-bal!H54</f>
        <v>0</v>
      </c>
      <c r="G25" s="68">
        <f>bal!J54-bal!I54</f>
        <v>0</v>
      </c>
      <c r="H25" s="68">
        <f>bal!K54-bal!J54</f>
        <v>0</v>
      </c>
      <c r="I25" s="68">
        <f>bal!L54-bal!K54</f>
        <v>0</v>
      </c>
      <c r="J25" s="68">
        <f>bal!M54-bal!L54</f>
        <v>0</v>
      </c>
      <c r="K25" s="68">
        <f>bal!N54-bal!M54</f>
        <v>0</v>
      </c>
      <c r="L25" s="92"/>
      <c r="M25" s="78"/>
    </row>
    <row r="26" spans="2:17" x14ac:dyDescent="0.2">
      <c r="B26" s="76"/>
      <c r="C26" s="516"/>
      <c r="D26" s="191"/>
      <c r="E26" s="71"/>
      <c r="F26" s="519">
        <f t="shared" ref="F26:K26" si="1">SUM(F22:F25)</f>
        <v>0</v>
      </c>
      <c r="G26" s="519">
        <f t="shared" si="1"/>
        <v>0</v>
      </c>
      <c r="H26" s="519">
        <f t="shared" si="1"/>
        <v>0</v>
      </c>
      <c r="I26" s="519">
        <f t="shared" si="1"/>
        <v>0</v>
      </c>
      <c r="J26" s="519">
        <f t="shared" si="1"/>
        <v>0</v>
      </c>
      <c r="K26" s="519">
        <f t="shared" si="1"/>
        <v>0</v>
      </c>
      <c r="L26" s="92"/>
      <c r="M26" s="78"/>
    </row>
    <row r="27" spans="2:17" x14ac:dyDescent="0.2">
      <c r="B27" s="76"/>
      <c r="C27" s="516"/>
      <c r="D27" s="520"/>
      <c r="E27" s="71"/>
      <c r="F27" s="222"/>
      <c r="G27" s="222"/>
      <c r="H27" s="222"/>
      <c r="I27" s="222"/>
      <c r="J27" s="222"/>
      <c r="K27" s="222"/>
      <c r="L27" s="92"/>
      <c r="M27" s="78"/>
    </row>
    <row r="28" spans="2:17" x14ac:dyDescent="0.2">
      <c r="B28" s="76"/>
      <c r="C28" s="516"/>
      <c r="D28" s="191" t="s">
        <v>236</v>
      </c>
      <c r="E28" s="71"/>
      <c r="F28" s="68">
        <f>bal!I41-bal!H41</f>
        <v>0</v>
      </c>
      <c r="G28" s="68">
        <f>bal!J41-bal!I41</f>
        <v>0</v>
      </c>
      <c r="H28" s="68">
        <f>bal!K41-bal!J41</f>
        <v>0</v>
      </c>
      <c r="I28" s="68">
        <f>bal!L41-bal!K41</f>
        <v>0</v>
      </c>
      <c r="J28" s="68">
        <f>bal!M41-bal!L41</f>
        <v>0</v>
      </c>
      <c r="K28" s="68">
        <f>bal!N41-bal!M41</f>
        <v>0</v>
      </c>
      <c r="L28" s="92"/>
      <c r="M28" s="78"/>
    </row>
    <row r="29" spans="2:17" x14ac:dyDescent="0.2">
      <c r="B29" s="76"/>
      <c r="C29" s="516"/>
      <c r="D29" s="191"/>
      <c r="E29" s="71"/>
      <c r="F29" s="222"/>
      <c r="G29" s="222"/>
      <c r="H29" s="222"/>
      <c r="I29" s="222"/>
      <c r="J29" s="222"/>
      <c r="K29" s="222"/>
      <c r="L29" s="92"/>
      <c r="M29" s="78"/>
    </row>
    <row r="30" spans="2:17" x14ac:dyDescent="0.2">
      <c r="B30" s="76"/>
      <c r="C30" s="516"/>
      <c r="D30" s="199" t="s">
        <v>95</v>
      </c>
      <c r="E30" s="71"/>
      <c r="F30" s="521">
        <f t="shared" ref="F30:K30" si="2">F17+F19+F26+F28</f>
        <v>0</v>
      </c>
      <c r="G30" s="521">
        <f t="shared" si="2"/>
        <v>0</v>
      </c>
      <c r="H30" s="521">
        <f t="shared" si="2"/>
        <v>0</v>
      </c>
      <c r="I30" s="521">
        <f t="shared" si="2"/>
        <v>0</v>
      </c>
      <c r="J30" s="521">
        <f t="shared" si="2"/>
        <v>0</v>
      </c>
      <c r="K30" s="521">
        <f t="shared" si="2"/>
        <v>0</v>
      </c>
      <c r="L30" s="92"/>
      <c r="M30" s="78"/>
    </row>
    <row r="31" spans="2:17" x14ac:dyDescent="0.2">
      <c r="B31" s="76"/>
      <c r="C31" s="516"/>
      <c r="D31" s="191"/>
      <c r="E31" s="71"/>
      <c r="F31" s="222"/>
      <c r="G31" s="222"/>
      <c r="H31" s="222"/>
      <c r="I31" s="222"/>
      <c r="J31" s="222"/>
      <c r="K31" s="222"/>
      <c r="L31" s="92"/>
      <c r="M31" s="78"/>
    </row>
    <row r="32" spans="2:17" x14ac:dyDescent="0.2">
      <c r="B32" s="76"/>
      <c r="C32" s="77"/>
      <c r="D32" s="77"/>
      <c r="E32" s="70"/>
      <c r="F32" s="70"/>
      <c r="G32" s="70"/>
      <c r="H32" s="70"/>
      <c r="I32" s="70"/>
      <c r="J32" s="70"/>
      <c r="K32" s="70"/>
      <c r="L32" s="70"/>
      <c r="M32" s="78"/>
    </row>
    <row r="33" spans="2:16" x14ac:dyDescent="0.2">
      <c r="B33" s="76"/>
      <c r="C33" s="516"/>
      <c r="D33" s="191"/>
      <c r="E33" s="71"/>
      <c r="F33" s="222"/>
      <c r="G33" s="222"/>
      <c r="H33" s="222"/>
      <c r="I33" s="222"/>
      <c r="J33" s="222"/>
      <c r="K33" s="222"/>
      <c r="L33" s="92"/>
      <c r="M33" s="78"/>
    </row>
    <row r="34" spans="2:16" x14ac:dyDescent="0.2">
      <c r="B34" s="76"/>
      <c r="C34" s="516"/>
      <c r="D34" s="604" t="s">
        <v>237</v>
      </c>
      <c r="E34" s="71"/>
      <c r="F34" s="222"/>
      <c r="G34" s="222"/>
      <c r="H34" s="222"/>
      <c r="I34" s="222"/>
      <c r="J34" s="222"/>
      <c r="K34" s="222"/>
      <c r="L34" s="92"/>
      <c r="M34" s="78"/>
    </row>
    <row r="35" spans="2:16" x14ac:dyDescent="0.2">
      <c r="B35" s="76"/>
      <c r="C35" s="516"/>
      <c r="D35" s="199"/>
      <c r="E35" s="71"/>
      <c r="F35" s="222"/>
      <c r="G35" s="222"/>
      <c r="H35" s="222"/>
      <c r="I35" s="222"/>
      <c r="J35" s="222"/>
      <c r="K35" s="222"/>
      <c r="L35" s="92"/>
      <c r="M35" s="78"/>
    </row>
    <row r="36" spans="2:16" x14ac:dyDescent="0.2">
      <c r="B36" s="76"/>
      <c r="C36" s="516"/>
      <c r="D36" s="191" t="s">
        <v>265</v>
      </c>
      <c r="E36" s="71"/>
      <c r="F36" s="68">
        <f>act!G25</f>
        <v>0</v>
      </c>
      <c r="G36" s="68">
        <f>act!H25</f>
        <v>0</v>
      </c>
      <c r="H36" s="68">
        <f>act!I25</f>
        <v>0</v>
      </c>
      <c r="I36" s="68">
        <f>act!J25</f>
        <v>0</v>
      </c>
      <c r="J36" s="68">
        <f>act!K25</f>
        <v>0</v>
      </c>
      <c r="K36" s="68">
        <f>act!L25</f>
        <v>0</v>
      </c>
      <c r="L36" s="92"/>
      <c r="M36" s="78"/>
    </row>
    <row r="37" spans="2:16" x14ac:dyDescent="0.2">
      <c r="B37" s="76"/>
      <c r="C37" s="516"/>
      <c r="D37" s="191" t="s">
        <v>266</v>
      </c>
      <c r="E37" s="71"/>
      <c r="F37" s="68">
        <f>bal!I14-bal!H14</f>
        <v>0</v>
      </c>
      <c r="G37" s="68">
        <f>bal!J14-bal!I14</f>
        <v>0</v>
      </c>
      <c r="H37" s="68">
        <f>bal!K14-bal!J14</f>
        <v>0</v>
      </c>
      <c r="I37" s="68">
        <f>bal!L14-bal!K14</f>
        <v>0</v>
      </c>
      <c r="J37" s="68">
        <f>bal!M14-bal!L14</f>
        <v>0</v>
      </c>
      <c r="K37" s="68">
        <f>bal!N14-bal!M14</f>
        <v>0</v>
      </c>
      <c r="L37" s="92"/>
      <c r="M37" s="78"/>
    </row>
    <row r="38" spans="2:16" x14ac:dyDescent="0.2">
      <c r="B38" s="76"/>
      <c r="C38" s="516"/>
      <c r="D38" s="191" t="s">
        <v>267</v>
      </c>
      <c r="E38" s="71"/>
      <c r="F38" s="68">
        <f>bal!I16-bal!H16</f>
        <v>0</v>
      </c>
      <c r="G38" s="68">
        <f>bal!J16-bal!I16</f>
        <v>0</v>
      </c>
      <c r="H38" s="68">
        <f>bal!K16-bal!J16</f>
        <v>0</v>
      </c>
      <c r="I38" s="68">
        <f>bal!L16-bal!K16</f>
        <v>0</v>
      </c>
      <c r="J38" s="68">
        <f>bal!M16-bal!L16</f>
        <v>0</v>
      </c>
      <c r="K38" s="68">
        <f>bal!N16-bal!M16</f>
        <v>0</v>
      </c>
      <c r="L38" s="92"/>
      <c r="M38" s="78"/>
    </row>
    <row r="39" spans="2:16" x14ac:dyDescent="0.2">
      <c r="B39" s="76"/>
      <c r="C39" s="516"/>
      <c r="D39" s="191"/>
      <c r="E39" s="71"/>
      <c r="F39" s="222"/>
      <c r="G39" s="222"/>
      <c r="H39" s="222"/>
      <c r="I39" s="222"/>
      <c r="J39" s="222"/>
      <c r="K39" s="222"/>
      <c r="L39" s="92"/>
      <c r="M39" s="78"/>
    </row>
    <row r="40" spans="2:16" x14ac:dyDescent="0.2">
      <c r="B40" s="76"/>
      <c r="C40" s="516"/>
      <c r="D40" s="199"/>
      <c r="E40" s="71"/>
      <c r="F40" s="522">
        <f t="shared" ref="F40:K40" si="3">SUM(F36:F38)</f>
        <v>0</v>
      </c>
      <c r="G40" s="522">
        <f t="shared" si="3"/>
        <v>0</v>
      </c>
      <c r="H40" s="522">
        <f t="shared" si="3"/>
        <v>0</v>
      </c>
      <c r="I40" s="522">
        <f t="shared" si="3"/>
        <v>0</v>
      </c>
      <c r="J40" s="522">
        <f t="shared" si="3"/>
        <v>0</v>
      </c>
      <c r="K40" s="522">
        <f t="shared" si="3"/>
        <v>0</v>
      </c>
      <c r="L40" s="92"/>
      <c r="M40" s="78"/>
    </row>
    <row r="41" spans="2:16" x14ac:dyDescent="0.2">
      <c r="B41" s="76"/>
      <c r="C41" s="516"/>
      <c r="D41" s="191"/>
      <c r="E41" s="71"/>
      <c r="F41" s="222"/>
      <c r="G41" s="222"/>
      <c r="H41" s="222"/>
      <c r="I41" s="222"/>
      <c r="J41" s="222"/>
      <c r="K41" s="222"/>
      <c r="L41" s="92"/>
      <c r="M41" s="78"/>
    </row>
    <row r="42" spans="2:16" x14ac:dyDescent="0.2">
      <c r="B42" s="76"/>
      <c r="C42" s="77"/>
      <c r="D42" s="77"/>
      <c r="E42" s="70"/>
      <c r="F42" s="70"/>
      <c r="G42" s="70"/>
      <c r="H42" s="70"/>
      <c r="I42" s="70"/>
      <c r="J42" s="70"/>
      <c r="K42" s="70"/>
      <c r="L42" s="70"/>
      <c r="M42" s="78"/>
    </row>
    <row r="43" spans="2:16" x14ac:dyDescent="0.2">
      <c r="B43" s="76"/>
      <c r="C43" s="516"/>
      <c r="D43" s="191"/>
      <c r="E43" s="71"/>
      <c r="F43" s="222"/>
      <c r="G43" s="222"/>
      <c r="H43" s="222"/>
      <c r="I43" s="222"/>
      <c r="J43" s="222"/>
      <c r="K43" s="222"/>
      <c r="L43" s="92"/>
      <c r="M43" s="78"/>
    </row>
    <row r="44" spans="2:16" x14ac:dyDescent="0.2">
      <c r="B44" s="76"/>
      <c r="C44" s="516"/>
      <c r="D44" s="604" t="s">
        <v>238</v>
      </c>
      <c r="E44" s="71"/>
      <c r="F44" s="521">
        <f>bal!I45-bal!H45</f>
        <v>0</v>
      </c>
      <c r="G44" s="521">
        <f>bal!J45-bal!I45</f>
        <v>0</v>
      </c>
      <c r="H44" s="521">
        <f>bal!K45-bal!J45</f>
        <v>0</v>
      </c>
      <c r="I44" s="521">
        <f>bal!L45-bal!K45</f>
        <v>0</v>
      </c>
      <c r="J44" s="521">
        <f>bal!M45-bal!L45</f>
        <v>0</v>
      </c>
      <c r="K44" s="521">
        <f>bal!N45-bal!M45</f>
        <v>0</v>
      </c>
      <c r="L44" s="92"/>
      <c r="M44" s="78"/>
    </row>
    <row r="45" spans="2:16" x14ac:dyDescent="0.2">
      <c r="B45" s="76"/>
      <c r="C45" s="516"/>
      <c r="D45" s="199"/>
      <c r="E45" s="71"/>
      <c r="F45" s="222"/>
      <c r="G45" s="222"/>
      <c r="H45" s="222"/>
      <c r="I45" s="222"/>
      <c r="J45" s="222"/>
      <c r="K45" s="222"/>
      <c r="L45" s="92"/>
      <c r="M45" s="78"/>
    </row>
    <row r="46" spans="2:16" x14ac:dyDescent="0.2">
      <c r="B46" s="76"/>
      <c r="C46" s="77"/>
      <c r="D46" s="77"/>
      <c r="E46" s="70"/>
      <c r="F46" s="70"/>
      <c r="G46" s="70"/>
      <c r="H46" s="70"/>
      <c r="I46" s="70"/>
      <c r="J46" s="70"/>
      <c r="K46" s="70"/>
      <c r="L46" s="70"/>
      <c r="M46" s="78"/>
    </row>
    <row r="47" spans="2:16" x14ac:dyDescent="0.2">
      <c r="B47" s="76"/>
      <c r="C47" s="516"/>
      <c r="D47" s="191"/>
      <c r="E47" s="71"/>
      <c r="F47" s="222"/>
      <c r="G47" s="222"/>
      <c r="H47" s="222"/>
      <c r="I47" s="222"/>
      <c r="J47" s="222"/>
      <c r="K47" s="222"/>
      <c r="L47" s="92"/>
      <c r="M47" s="78"/>
    </row>
    <row r="48" spans="2:16" x14ac:dyDescent="0.2">
      <c r="B48" s="76"/>
      <c r="C48" s="516"/>
      <c r="D48" s="618" t="s">
        <v>239</v>
      </c>
      <c r="E48" s="71"/>
      <c r="F48" s="521">
        <f t="shared" ref="F48:K48" si="4">F30-F40+F44</f>
        <v>0</v>
      </c>
      <c r="G48" s="521">
        <f t="shared" si="4"/>
        <v>0</v>
      </c>
      <c r="H48" s="521">
        <f t="shared" si="4"/>
        <v>0</v>
      </c>
      <c r="I48" s="521">
        <f t="shared" si="4"/>
        <v>0</v>
      </c>
      <c r="J48" s="521">
        <f t="shared" si="4"/>
        <v>0</v>
      </c>
      <c r="K48" s="521">
        <f t="shared" si="4"/>
        <v>0</v>
      </c>
      <c r="L48" s="92"/>
      <c r="M48" s="78"/>
      <c r="P48" s="744"/>
    </row>
    <row r="49" spans="2:14" x14ac:dyDescent="0.2">
      <c r="B49" s="76"/>
      <c r="C49" s="516"/>
      <c r="D49" s="523" t="s">
        <v>240</v>
      </c>
      <c r="E49" s="524"/>
      <c r="F49" s="525">
        <f>bal!I22-bal!H22</f>
        <v>0</v>
      </c>
      <c r="G49" s="525">
        <f>bal!J22-bal!I22</f>
        <v>0</v>
      </c>
      <c r="H49" s="525">
        <f>bal!K22-bal!J22</f>
        <v>0</v>
      </c>
      <c r="I49" s="525">
        <f>bal!L22-bal!K22</f>
        <v>0</v>
      </c>
      <c r="J49" s="525">
        <f>bal!M22-bal!L22</f>
        <v>0</v>
      </c>
      <c r="K49" s="525">
        <f>bal!N22-bal!M22</f>
        <v>0</v>
      </c>
      <c r="L49" s="92"/>
      <c r="M49" s="78"/>
    </row>
    <row r="50" spans="2:14" x14ac:dyDescent="0.2">
      <c r="B50" s="76"/>
      <c r="C50" s="516"/>
      <c r="D50" s="191"/>
      <c r="E50" s="71"/>
      <c r="F50" s="222"/>
      <c r="G50" s="222"/>
      <c r="H50" s="222"/>
      <c r="I50" s="222"/>
      <c r="J50" s="222"/>
      <c r="K50" s="222"/>
      <c r="L50" s="92"/>
      <c r="M50" s="78"/>
    </row>
    <row r="51" spans="2:14" s="513" customFormat="1" x14ac:dyDescent="0.2">
      <c r="B51" s="80"/>
      <c r="C51" s="509"/>
      <c r="D51" s="604" t="s">
        <v>241</v>
      </c>
      <c r="E51" s="201"/>
      <c r="F51" s="526">
        <f t="shared" ref="F51:K51" si="5">F11+F48</f>
        <v>0</v>
      </c>
      <c r="G51" s="521">
        <f t="shared" si="5"/>
        <v>0</v>
      </c>
      <c r="H51" s="521">
        <f t="shared" si="5"/>
        <v>0</v>
      </c>
      <c r="I51" s="521">
        <f t="shared" si="5"/>
        <v>0</v>
      </c>
      <c r="J51" s="521">
        <f t="shared" si="5"/>
        <v>0</v>
      </c>
      <c r="K51" s="521">
        <f t="shared" si="5"/>
        <v>0</v>
      </c>
      <c r="L51" s="511"/>
      <c r="M51" s="91"/>
      <c r="N51" s="512"/>
    </row>
    <row r="52" spans="2:14" s="513" customFormat="1" x14ac:dyDescent="0.2">
      <c r="B52" s="80"/>
      <c r="C52" s="509"/>
      <c r="D52" s="527" t="s">
        <v>242</v>
      </c>
      <c r="E52" s="528"/>
      <c r="F52" s="529" t="e">
        <f>bal!I65</f>
        <v>#DIV/0!</v>
      </c>
      <c r="G52" s="530" t="e">
        <f>bal!J65</f>
        <v>#DIV/0!</v>
      </c>
      <c r="H52" s="530" t="e">
        <f>bal!K65</f>
        <v>#DIV/0!</v>
      </c>
      <c r="I52" s="530" t="e">
        <f>bal!L65</f>
        <v>#DIV/0!</v>
      </c>
      <c r="J52" s="530" t="e">
        <f>bal!M65</f>
        <v>#DIV/0!</v>
      </c>
      <c r="K52" s="530" t="e">
        <f>bal!N65</f>
        <v>#DIV/0!</v>
      </c>
      <c r="L52" s="511"/>
      <c r="M52" s="91"/>
      <c r="N52" s="512"/>
    </row>
    <row r="53" spans="2:14" x14ac:dyDescent="0.2">
      <c r="B53" s="76"/>
      <c r="C53" s="81"/>
      <c r="D53" s="82"/>
      <c r="E53" s="69"/>
      <c r="F53" s="531"/>
      <c r="G53" s="531"/>
      <c r="H53" s="531"/>
      <c r="I53" s="531"/>
      <c r="J53" s="531"/>
      <c r="K53" s="531"/>
      <c r="L53" s="515"/>
      <c r="M53" s="78"/>
    </row>
    <row r="54" spans="2:14" x14ac:dyDescent="0.2">
      <c r="B54" s="76"/>
      <c r="C54" s="77"/>
      <c r="D54" s="77"/>
      <c r="E54" s="70"/>
      <c r="F54" s="532"/>
      <c r="G54" s="532"/>
      <c r="H54" s="532"/>
      <c r="I54" s="532"/>
      <c r="J54" s="532"/>
      <c r="K54" s="532"/>
      <c r="L54" s="70"/>
      <c r="M54" s="78"/>
    </row>
    <row r="55" spans="2:14" x14ac:dyDescent="0.2">
      <c r="B55" s="86"/>
      <c r="C55" s="83"/>
      <c r="D55" s="83"/>
      <c r="E55" s="84"/>
      <c r="F55" s="414"/>
      <c r="G55" s="414"/>
      <c r="H55" s="414"/>
      <c r="I55" s="414"/>
      <c r="J55" s="414"/>
      <c r="K55" s="414"/>
      <c r="L55" s="654" t="s">
        <v>429</v>
      </c>
      <c r="M55" s="85"/>
    </row>
  </sheetData>
  <sheetProtection algorithmName="SHA-512" hashValue="OSGRK3vgG44vvpuIcUeq6bWv+qtKdh/0qW8jDb7F16aalD1oNc+1vSpkyFsZ2j2tn8gFn3VAhWZ7D6nez4+Xxg==" saltValue="NJgFTUsFHG6T9I3mTx5pLA==" spinCount="100000" sheet="1" objects="1" scenarios="1"/>
  <phoneticPr fontId="0" type="noConversion"/>
  <hyperlinks>
    <hyperlink ref="L55" r:id="rId1"/>
  </hyperlinks>
  <pageMargins left="0.75" right="0.75" top="1" bottom="1" header="0.5" footer="0.5"/>
  <pageSetup paperSize="9" scale="58" orientation="landscape" r:id="rId2"/>
  <headerFooter alignWithMargins="0">
    <oddHeader>&amp;L&amp;"Arial,Vet"&amp;9&amp;F&amp;R&amp;"Arial,Vet"&amp;9&amp;A</oddHeader>
    <oddFooter>&amp;L&amp;"Arial,Vet"&amp;9be.keizer@wxs.nl&amp;C&amp;"Arial,Vet"&amp;9pagina &amp;P&amp;R&amp;"Arial,Vet"&amp;9&amp;D</oddFooter>
  </headerFooter>
  <colBreaks count="1" manualBreakCount="1">
    <brk id="13" min="1" max="64" man="1"/>
  </colBreaks>
  <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235"/>
  <sheetViews>
    <sheetView zoomScale="85" zoomScaleNormal="85" workbookViewId="0">
      <selection activeCell="B2" sqref="B2"/>
    </sheetView>
  </sheetViews>
  <sheetFormatPr defaultRowHeight="12.75" x14ac:dyDescent="0.2"/>
  <cols>
    <col min="1" max="1" width="3.7109375" style="739" customWidth="1"/>
    <col min="2" max="3" width="2.7109375" style="670" customWidth="1"/>
    <col min="4" max="4" width="45.7109375" style="671" customWidth="1"/>
    <col min="5" max="5" width="2.7109375" style="670" customWidth="1"/>
    <col min="6" max="10" width="14.85546875" style="672" customWidth="1"/>
    <col min="11" max="11" width="2.7109375" style="673" customWidth="1"/>
    <col min="12" max="12" width="2.7109375" style="670" customWidth="1"/>
    <col min="13" max="14" width="14.7109375" style="739" customWidth="1"/>
    <col min="15" max="35" width="9.140625" style="739"/>
    <col min="36" max="16384" width="9.140625" style="670"/>
  </cols>
  <sheetData>
    <row r="1" spans="1:35" s="739" customFormat="1" x14ac:dyDescent="0.2">
      <c r="D1" s="740"/>
      <c r="F1" s="741"/>
      <c r="G1" s="741"/>
      <c r="H1" s="741"/>
      <c r="I1" s="741"/>
      <c r="J1" s="741"/>
      <c r="K1" s="742"/>
    </row>
    <row r="2" spans="1:35" x14ac:dyDescent="0.2">
      <c r="B2" s="698"/>
      <c r="C2" s="674"/>
      <c r="D2" s="675"/>
      <c r="E2" s="674"/>
      <c r="F2" s="676"/>
      <c r="G2" s="676"/>
      <c r="H2" s="676"/>
      <c r="I2" s="676"/>
      <c r="J2" s="676"/>
      <c r="K2" s="677"/>
      <c r="L2" s="678"/>
    </row>
    <row r="3" spans="1:35" x14ac:dyDescent="0.2">
      <c r="B3" s="679"/>
      <c r="C3" s="680"/>
      <c r="D3" s="681"/>
      <c r="E3" s="680"/>
      <c r="F3" s="682"/>
      <c r="G3" s="682"/>
      <c r="H3" s="682"/>
      <c r="I3" s="682"/>
      <c r="J3" s="682"/>
      <c r="K3" s="683"/>
      <c r="L3" s="827"/>
    </row>
    <row r="4" spans="1:35" s="690" customFormat="1" ht="18.75" x14ac:dyDescent="0.3">
      <c r="A4" s="743"/>
      <c r="B4" s="684"/>
      <c r="C4" s="685" t="s">
        <v>441</v>
      </c>
      <c r="D4" s="686"/>
      <c r="E4" s="687"/>
      <c r="F4" s="688"/>
      <c r="G4" s="688"/>
      <c r="H4" s="688"/>
      <c r="I4" s="688"/>
      <c r="J4" s="688"/>
      <c r="K4" s="689"/>
      <c r="L4" s="828"/>
      <c r="M4" s="743"/>
      <c r="N4" s="743"/>
      <c r="O4" s="743"/>
      <c r="P4" s="743"/>
      <c r="Q4" s="743"/>
      <c r="R4" s="743"/>
      <c r="S4" s="743"/>
      <c r="T4" s="743"/>
      <c r="U4" s="743"/>
      <c r="V4" s="743"/>
      <c r="W4" s="743"/>
      <c r="X4" s="743"/>
      <c r="Y4" s="743"/>
      <c r="Z4" s="743"/>
      <c r="AA4" s="743"/>
      <c r="AB4" s="743"/>
      <c r="AC4" s="743"/>
      <c r="AD4" s="743"/>
      <c r="AE4" s="743"/>
      <c r="AF4" s="743"/>
      <c r="AG4" s="743"/>
      <c r="AH4" s="743"/>
      <c r="AI4" s="743"/>
    </row>
    <row r="5" spans="1:35" s="690" customFormat="1" ht="18.75" x14ac:dyDescent="0.3">
      <c r="A5" s="743"/>
      <c r="B5" s="684"/>
      <c r="C5" s="691" t="str">
        <f>+'geg LO'!C5</f>
        <v xml:space="preserve">SWV VO </v>
      </c>
      <c r="D5" s="686"/>
      <c r="E5" s="687"/>
      <c r="F5" s="688"/>
      <c r="G5" s="688"/>
      <c r="H5" s="688"/>
      <c r="I5" s="688"/>
      <c r="J5" s="688"/>
      <c r="K5" s="689"/>
      <c r="L5" s="828"/>
      <c r="M5" s="743"/>
      <c r="N5" s="743"/>
      <c r="O5" s="743"/>
      <c r="P5" s="743"/>
      <c r="Q5" s="743"/>
      <c r="R5" s="743"/>
      <c r="S5" s="743"/>
      <c r="T5" s="743"/>
      <c r="U5" s="743"/>
      <c r="V5" s="743"/>
      <c r="W5" s="743"/>
      <c r="X5" s="743"/>
      <c r="Y5" s="743"/>
      <c r="Z5" s="743"/>
      <c r="AA5" s="743"/>
      <c r="AB5" s="743"/>
      <c r="AC5" s="743"/>
      <c r="AD5" s="743"/>
      <c r="AE5" s="743"/>
      <c r="AF5" s="743"/>
      <c r="AG5" s="743"/>
      <c r="AH5" s="743"/>
      <c r="AI5" s="743"/>
    </row>
    <row r="6" spans="1:35" x14ac:dyDescent="0.2">
      <c r="B6" s="679"/>
      <c r="C6" s="680"/>
      <c r="D6" s="681"/>
      <c r="E6" s="680"/>
      <c r="F6" s="682"/>
      <c r="G6" s="682"/>
      <c r="H6" s="682"/>
      <c r="I6" s="682"/>
      <c r="J6" s="682"/>
      <c r="K6" s="683"/>
      <c r="L6" s="827"/>
    </row>
    <row r="7" spans="1:35" x14ac:dyDescent="0.2">
      <c r="B7" s="679"/>
      <c r="C7" s="680"/>
      <c r="D7" s="681"/>
      <c r="E7" s="680"/>
      <c r="F7" s="699">
        <f>+tab!F4</f>
        <v>2016</v>
      </c>
      <c r="G7" s="699">
        <f>+tab!G4</f>
        <v>2017</v>
      </c>
      <c r="H7" s="699">
        <f>+tab!H4</f>
        <v>2018</v>
      </c>
      <c r="I7" s="699">
        <f>+tab!I4</f>
        <v>2019</v>
      </c>
      <c r="J7" s="699">
        <f>+tab!J4</f>
        <v>2020</v>
      </c>
      <c r="K7" s="680"/>
      <c r="L7" s="827"/>
    </row>
    <row r="8" spans="1:35" x14ac:dyDescent="0.2">
      <c r="B8" s="679"/>
      <c r="C8" s="680"/>
      <c r="D8" s="681"/>
      <c r="E8" s="680"/>
      <c r="F8" s="692"/>
      <c r="G8" s="692"/>
      <c r="H8" s="692"/>
      <c r="I8" s="692"/>
      <c r="J8" s="692"/>
      <c r="K8" s="683"/>
      <c r="L8" s="827"/>
    </row>
    <row r="9" spans="1:35" x14ac:dyDescent="0.2">
      <c r="B9" s="693"/>
      <c r="C9" s="745"/>
      <c r="D9" s="745"/>
      <c r="E9" s="745"/>
      <c r="F9" s="746"/>
      <c r="G9" s="746"/>
      <c r="H9" s="746"/>
      <c r="I9" s="746"/>
      <c r="J9" s="746"/>
      <c r="K9" s="745"/>
      <c r="L9" s="827"/>
    </row>
    <row r="10" spans="1:35" x14ac:dyDescent="0.2">
      <c r="B10" s="693"/>
      <c r="C10" s="745"/>
      <c r="D10" s="747" t="s">
        <v>911</v>
      </c>
      <c r="E10" s="745"/>
      <c r="F10" s="746"/>
      <c r="G10" s="746"/>
      <c r="H10" s="746"/>
      <c r="I10" s="746"/>
      <c r="J10" s="746"/>
      <c r="K10" s="745"/>
      <c r="L10" s="827"/>
    </row>
    <row r="11" spans="1:35" x14ac:dyDescent="0.2">
      <c r="B11" s="693"/>
      <c r="C11" s="745"/>
      <c r="D11" s="745"/>
      <c r="E11" s="745"/>
      <c r="F11" s="746"/>
      <c r="G11" s="746"/>
      <c r="H11" s="746"/>
      <c r="I11" s="746"/>
      <c r="J11" s="746"/>
      <c r="K11" s="745"/>
      <c r="L11" s="827"/>
    </row>
    <row r="12" spans="1:35" x14ac:dyDescent="0.2">
      <c r="B12" s="693"/>
      <c r="C12" s="745"/>
      <c r="D12" s="748" t="s">
        <v>442</v>
      </c>
      <c r="E12" s="745"/>
      <c r="F12" s="746"/>
      <c r="G12" s="746"/>
      <c r="H12" s="746"/>
      <c r="I12" s="746"/>
      <c r="J12" s="746"/>
      <c r="K12" s="745"/>
      <c r="L12" s="827"/>
    </row>
    <row r="13" spans="1:35" x14ac:dyDescent="0.2">
      <c r="B13" s="693"/>
      <c r="C13" s="745"/>
      <c r="D13" s="745" t="s">
        <v>443</v>
      </c>
      <c r="E13" s="745"/>
      <c r="F13" s="749">
        <f>+begr!G19</f>
        <v>0</v>
      </c>
      <c r="G13" s="749">
        <f>+begr!H19</f>
        <v>0</v>
      </c>
      <c r="H13" s="749">
        <f>+begr!I19</f>
        <v>0</v>
      </c>
      <c r="I13" s="749">
        <f>+begr!J19</f>
        <v>0</v>
      </c>
      <c r="J13" s="749">
        <f>+begr!K19</f>
        <v>0</v>
      </c>
      <c r="K13" s="745"/>
      <c r="L13" s="827"/>
    </row>
    <row r="14" spans="1:35" x14ac:dyDescent="0.2">
      <c r="B14" s="693"/>
      <c r="C14" s="745"/>
      <c r="D14" s="745" t="s">
        <v>444</v>
      </c>
      <c r="E14" s="745"/>
      <c r="F14" s="749">
        <f>+begr!G33</f>
        <v>0</v>
      </c>
      <c r="G14" s="749">
        <f>+begr!H33</f>
        <v>0</v>
      </c>
      <c r="H14" s="749">
        <f>+begr!I33</f>
        <v>0</v>
      </c>
      <c r="I14" s="749">
        <f>+begr!J33</f>
        <v>0</v>
      </c>
      <c r="J14" s="749">
        <f>+begr!K33</f>
        <v>0</v>
      </c>
      <c r="K14" s="745"/>
      <c r="L14" s="827"/>
    </row>
    <row r="15" spans="1:35" x14ac:dyDescent="0.2">
      <c r="B15" s="694"/>
      <c r="C15" s="745"/>
      <c r="D15" s="750" t="s">
        <v>95</v>
      </c>
      <c r="E15" s="745"/>
      <c r="F15" s="751">
        <f t="shared" ref="F15:J15" si="0">SUM(F13:F14)</f>
        <v>0</v>
      </c>
      <c r="G15" s="751">
        <f t="shared" si="0"/>
        <v>0</v>
      </c>
      <c r="H15" s="751">
        <f t="shared" si="0"/>
        <v>0</v>
      </c>
      <c r="I15" s="751">
        <f t="shared" si="0"/>
        <v>0</v>
      </c>
      <c r="J15" s="751">
        <f t="shared" si="0"/>
        <v>0</v>
      </c>
      <c r="K15" s="745"/>
      <c r="L15" s="827"/>
    </row>
    <row r="16" spans="1:35" x14ac:dyDescent="0.2">
      <c r="B16" s="693"/>
      <c r="C16" s="752"/>
      <c r="D16" s="753" t="s">
        <v>445</v>
      </c>
      <c r="E16" s="754"/>
      <c r="F16" s="879">
        <f>IF('geg ZO'!K37=0,0,+F15/'geg ZO'!K37)</f>
        <v>0</v>
      </c>
      <c r="G16" s="879">
        <f>IF('geg ZO'!L37=0,0,+G15/'geg ZO'!L37)</f>
        <v>0</v>
      </c>
      <c r="H16" s="879">
        <f>IF('geg ZO'!M37=0,0,+H15/'geg ZO'!M37)</f>
        <v>0</v>
      </c>
      <c r="I16" s="879">
        <f>IF('geg ZO'!N37=0,0,+I15/'geg ZO'!N37)</f>
        <v>0</v>
      </c>
      <c r="J16" s="879">
        <f>IF('geg ZO'!O37=0,0,+J15/'geg ZO'!O37)</f>
        <v>0</v>
      </c>
      <c r="K16" s="745"/>
      <c r="L16" s="827"/>
    </row>
    <row r="17" spans="2:12" x14ac:dyDescent="0.2">
      <c r="B17" s="693"/>
      <c r="C17" s="745"/>
      <c r="D17" s="755"/>
      <c r="E17" s="745"/>
      <c r="F17" s="756"/>
      <c r="G17" s="756"/>
      <c r="H17" s="756"/>
      <c r="I17" s="756"/>
      <c r="J17" s="756"/>
      <c r="K17" s="745"/>
      <c r="L17" s="827"/>
    </row>
    <row r="18" spans="2:12" x14ac:dyDescent="0.2">
      <c r="B18" s="693"/>
      <c r="C18" s="745"/>
      <c r="D18" s="748" t="s">
        <v>446</v>
      </c>
      <c r="E18" s="745"/>
      <c r="F18" s="757"/>
      <c r="G18" s="757"/>
      <c r="H18" s="757"/>
      <c r="I18" s="757"/>
      <c r="J18" s="757"/>
      <c r="K18" s="755"/>
      <c r="L18" s="827"/>
    </row>
    <row r="19" spans="2:12" x14ac:dyDescent="0.2">
      <c r="B19" s="693"/>
      <c r="C19" s="745"/>
      <c r="D19" s="745" t="s">
        <v>447</v>
      </c>
      <c r="E19" s="745"/>
      <c r="F19" s="749">
        <f>+begr!G25</f>
        <v>0</v>
      </c>
      <c r="G19" s="749">
        <f>+begr!H25</f>
        <v>0</v>
      </c>
      <c r="H19" s="749">
        <f>+begr!I25</f>
        <v>0</v>
      </c>
      <c r="I19" s="749">
        <f>+begr!J25</f>
        <v>0</v>
      </c>
      <c r="J19" s="749">
        <f>+begr!K25</f>
        <v>0</v>
      </c>
      <c r="K19" s="745"/>
      <c r="L19" s="827"/>
    </row>
    <row r="20" spans="2:12" x14ac:dyDescent="0.2">
      <c r="B20" s="693"/>
      <c r="C20" s="745"/>
      <c r="D20" s="745" t="s">
        <v>448</v>
      </c>
      <c r="E20" s="745"/>
      <c r="F20" s="749">
        <f>+begr!G34</f>
        <v>0</v>
      </c>
      <c r="G20" s="749">
        <f>+begr!H34</f>
        <v>0</v>
      </c>
      <c r="H20" s="749">
        <f>+begr!I34</f>
        <v>0</v>
      </c>
      <c r="I20" s="749">
        <f>+begr!J34</f>
        <v>0</v>
      </c>
      <c r="J20" s="749">
        <f>+begr!K34</f>
        <v>0</v>
      </c>
      <c r="K20" s="745"/>
      <c r="L20" s="827"/>
    </row>
    <row r="21" spans="2:12" x14ac:dyDescent="0.2">
      <c r="B21" s="694"/>
      <c r="C21" s="745"/>
      <c r="D21" s="750" t="s">
        <v>95</v>
      </c>
      <c r="E21" s="745"/>
      <c r="F21" s="751">
        <f t="shared" ref="F21:J21" si="1">SUM(F19:F20)</f>
        <v>0</v>
      </c>
      <c r="G21" s="751">
        <f t="shared" si="1"/>
        <v>0</v>
      </c>
      <c r="H21" s="751">
        <f t="shared" si="1"/>
        <v>0</v>
      </c>
      <c r="I21" s="751">
        <f t="shared" si="1"/>
        <v>0</v>
      </c>
      <c r="J21" s="751">
        <f t="shared" si="1"/>
        <v>0</v>
      </c>
      <c r="K21" s="745"/>
      <c r="L21" s="827"/>
    </row>
    <row r="22" spans="2:12" x14ac:dyDescent="0.2">
      <c r="B22" s="693"/>
      <c r="C22" s="752"/>
      <c r="D22" s="753" t="s">
        <v>445</v>
      </c>
      <c r="E22" s="754"/>
      <c r="F22" s="879">
        <f>IF('geg ZO'!K37=0,0,+F21/'geg ZO'!K37)</f>
        <v>0</v>
      </c>
      <c r="G22" s="879">
        <f>IF('geg ZO'!L37=0,0,+G21/'geg ZO'!L37)</f>
        <v>0</v>
      </c>
      <c r="H22" s="879">
        <f>IF('geg ZO'!M37=0,0,+H21/'geg ZO'!M37)</f>
        <v>0</v>
      </c>
      <c r="I22" s="879">
        <f>IF('geg ZO'!N37=0,0,+I21/'geg ZO'!N37)</f>
        <v>0</v>
      </c>
      <c r="J22" s="879">
        <f>IF('geg ZO'!O37=0,0,+J21/'geg ZO'!O37)</f>
        <v>0</v>
      </c>
      <c r="K22" s="745"/>
      <c r="L22" s="827"/>
    </row>
    <row r="23" spans="2:12" x14ac:dyDescent="0.2">
      <c r="B23" s="693"/>
      <c r="C23" s="745"/>
      <c r="D23" s="745"/>
      <c r="E23" s="745"/>
      <c r="F23" s="746"/>
      <c r="G23" s="746"/>
      <c r="H23" s="746"/>
      <c r="I23" s="746"/>
      <c r="J23" s="746"/>
      <c r="K23" s="745"/>
      <c r="L23" s="827"/>
    </row>
    <row r="24" spans="2:12" x14ac:dyDescent="0.2">
      <c r="B24" s="693"/>
      <c r="C24" s="745"/>
      <c r="D24" s="748" t="s">
        <v>664</v>
      </c>
      <c r="E24" s="745"/>
      <c r="F24" s="746"/>
      <c r="G24" s="746"/>
      <c r="H24" s="746"/>
      <c r="I24" s="746"/>
      <c r="J24" s="746"/>
      <c r="K24" s="745"/>
      <c r="L24" s="827"/>
    </row>
    <row r="25" spans="2:12" x14ac:dyDescent="0.2">
      <c r="B25" s="693"/>
      <c r="C25" s="745"/>
      <c r="D25" s="745" t="s">
        <v>664</v>
      </c>
      <c r="E25" s="745"/>
      <c r="F25" s="749">
        <f>+pers!I244</f>
        <v>0</v>
      </c>
      <c r="G25" s="749">
        <f>+pers!J244</f>
        <v>0</v>
      </c>
      <c r="H25" s="749">
        <f>+pers!K244</f>
        <v>0</v>
      </c>
      <c r="I25" s="749">
        <f>+pers!L244</f>
        <v>0</v>
      </c>
      <c r="J25" s="749">
        <f>+pers!M244</f>
        <v>0</v>
      </c>
      <c r="K25" s="745"/>
      <c r="L25" s="827"/>
    </row>
    <row r="26" spans="2:12" x14ac:dyDescent="0.2">
      <c r="B26" s="694"/>
      <c r="C26" s="745"/>
      <c r="D26" s="750" t="s">
        <v>95</v>
      </c>
      <c r="E26" s="755"/>
      <c r="F26" s="751">
        <f t="shared" ref="F26:J26" si="2">SUM(F25:F25)</f>
        <v>0</v>
      </c>
      <c r="G26" s="751">
        <f t="shared" si="2"/>
        <v>0</v>
      </c>
      <c r="H26" s="751">
        <f t="shared" si="2"/>
        <v>0</v>
      </c>
      <c r="I26" s="751">
        <f t="shared" si="2"/>
        <v>0</v>
      </c>
      <c r="J26" s="751">
        <f t="shared" si="2"/>
        <v>0</v>
      </c>
      <c r="K26" s="745"/>
      <c r="L26" s="827"/>
    </row>
    <row r="27" spans="2:12" x14ac:dyDescent="0.2">
      <c r="B27" s="693"/>
      <c r="C27" s="752"/>
      <c r="D27" s="753" t="s">
        <v>445</v>
      </c>
      <c r="E27" s="754"/>
      <c r="F27" s="879">
        <f>IF('geg ZO'!K$37=0,0,+F26/'geg ZO'!K$37)</f>
        <v>0</v>
      </c>
      <c r="G27" s="879">
        <f>IF('geg ZO'!L$37=0,0,+G26/'geg ZO'!L$37)</f>
        <v>0</v>
      </c>
      <c r="H27" s="879">
        <f>IF('geg ZO'!M$37=0,0,+H26/'geg ZO'!M$37)</f>
        <v>0</v>
      </c>
      <c r="I27" s="879">
        <f>IF('geg ZO'!N$37=0,0,+I26/'geg ZO'!N$37)</f>
        <v>0</v>
      </c>
      <c r="J27" s="879">
        <f>IF('geg ZO'!O$37=0,0,+J26/'geg ZO'!O$37)</f>
        <v>0</v>
      </c>
      <c r="K27" s="745"/>
      <c r="L27" s="827"/>
    </row>
    <row r="28" spans="2:12" x14ac:dyDescent="0.2">
      <c r="B28" s="693"/>
      <c r="C28" s="745"/>
      <c r="D28" s="745"/>
      <c r="E28" s="745"/>
      <c r="F28" s="756"/>
      <c r="G28" s="756"/>
      <c r="H28" s="756"/>
      <c r="I28" s="756"/>
      <c r="J28" s="756"/>
      <c r="K28" s="745"/>
      <c r="L28" s="827"/>
    </row>
    <row r="29" spans="2:12" x14ac:dyDescent="0.2">
      <c r="B29" s="693"/>
      <c r="C29" s="745"/>
      <c r="D29" s="758" t="s">
        <v>449</v>
      </c>
      <c r="E29" s="745"/>
      <c r="F29" s="756"/>
      <c r="G29" s="756"/>
      <c r="H29" s="756"/>
      <c r="I29" s="756"/>
      <c r="J29" s="756"/>
      <c r="K29" s="745"/>
      <c r="L29" s="827"/>
    </row>
    <row r="30" spans="2:12" x14ac:dyDescent="0.2">
      <c r="B30" s="693"/>
      <c r="C30" s="745"/>
      <c r="D30" s="759" t="s">
        <v>491</v>
      </c>
      <c r="E30" s="745"/>
      <c r="F30" s="749">
        <f>+mat!K124</f>
        <v>0</v>
      </c>
      <c r="G30" s="749">
        <f>+mat!L124</f>
        <v>0</v>
      </c>
      <c r="H30" s="749">
        <f>+mat!M124</f>
        <v>0</v>
      </c>
      <c r="I30" s="749">
        <f>+mat!N124</f>
        <v>0</v>
      </c>
      <c r="J30" s="749">
        <f>+mat!O124</f>
        <v>0</v>
      </c>
      <c r="K30" s="745"/>
      <c r="L30" s="827"/>
    </row>
    <row r="31" spans="2:12" x14ac:dyDescent="0.2">
      <c r="B31" s="693"/>
      <c r="C31" s="745"/>
      <c r="D31" s="759" t="s">
        <v>492</v>
      </c>
      <c r="E31" s="745"/>
      <c r="F31" s="749">
        <f>+mat!K131</f>
        <v>0</v>
      </c>
      <c r="G31" s="749">
        <f>+mat!L131</f>
        <v>0</v>
      </c>
      <c r="H31" s="749">
        <f>+mat!M131</f>
        <v>0</v>
      </c>
      <c r="I31" s="749">
        <f>+mat!N131</f>
        <v>0</v>
      </c>
      <c r="J31" s="749">
        <f>+mat!O131</f>
        <v>0</v>
      </c>
      <c r="K31" s="745"/>
      <c r="L31" s="827"/>
    </row>
    <row r="32" spans="2:12" x14ac:dyDescent="0.2">
      <c r="B32" s="693"/>
      <c r="C32" s="745"/>
      <c r="D32" s="759" t="s">
        <v>450</v>
      </c>
      <c r="E32" s="745"/>
      <c r="F32" s="749">
        <f>+act!H30</f>
        <v>0</v>
      </c>
      <c r="G32" s="749">
        <f>+act!I30</f>
        <v>0</v>
      </c>
      <c r="H32" s="749">
        <f>+act!J30</f>
        <v>0</v>
      </c>
      <c r="I32" s="749">
        <f>+act!K30</f>
        <v>0</v>
      </c>
      <c r="J32" s="749">
        <f>+act!L30</f>
        <v>0</v>
      </c>
      <c r="K32" s="745"/>
      <c r="L32" s="827"/>
    </row>
    <row r="33" spans="2:12" x14ac:dyDescent="0.2">
      <c r="B33" s="694"/>
      <c r="C33" s="745"/>
      <c r="D33" s="750" t="s">
        <v>95</v>
      </c>
      <c r="E33" s="755"/>
      <c r="F33" s="751">
        <f t="shared" ref="F33:J33" si="3">SUM(F30:F32)</f>
        <v>0</v>
      </c>
      <c r="G33" s="751">
        <f t="shared" si="3"/>
        <v>0</v>
      </c>
      <c r="H33" s="751">
        <f t="shared" si="3"/>
        <v>0</v>
      </c>
      <c r="I33" s="751">
        <f t="shared" si="3"/>
        <v>0</v>
      </c>
      <c r="J33" s="751">
        <f t="shared" si="3"/>
        <v>0</v>
      </c>
      <c r="K33" s="745"/>
      <c r="L33" s="827"/>
    </row>
    <row r="34" spans="2:12" x14ac:dyDescent="0.2">
      <c r="B34" s="693"/>
      <c r="C34" s="745"/>
      <c r="D34" s="753" t="s">
        <v>445</v>
      </c>
      <c r="E34" s="754"/>
      <c r="F34" s="879">
        <f>IF('geg ZO'!K$37=0,0,+F33/'geg ZO'!K$37)</f>
        <v>0</v>
      </c>
      <c r="G34" s="879">
        <f>IF('geg ZO'!L$37=0,0,+G33/'geg ZO'!L$37)</f>
        <v>0</v>
      </c>
      <c r="H34" s="879">
        <f>IF('geg ZO'!M$37=0,0,+H33/'geg ZO'!M$37)</f>
        <v>0</v>
      </c>
      <c r="I34" s="879">
        <f>IF('geg ZO'!N$37=0,0,+I33/'geg ZO'!N$37)</f>
        <v>0</v>
      </c>
      <c r="J34" s="879">
        <f>IF('geg ZO'!O$37=0,0,+J33/'geg ZO'!O$37)</f>
        <v>0</v>
      </c>
      <c r="K34" s="745"/>
      <c r="L34" s="827"/>
    </row>
    <row r="35" spans="2:12" x14ac:dyDescent="0.2">
      <c r="B35" s="693"/>
      <c r="C35" s="745"/>
      <c r="D35" s="759"/>
      <c r="E35" s="745"/>
      <c r="F35" s="756"/>
      <c r="G35" s="756"/>
      <c r="H35" s="756"/>
      <c r="I35" s="756"/>
      <c r="J35" s="756"/>
      <c r="K35" s="745"/>
      <c r="L35" s="827"/>
    </row>
    <row r="36" spans="2:12" x14ac:dyDescent="0.2">
      <c r="B36" s="679"/>
      <c r="C36" s="745"/>
      <c r="D36" s="760" t="s">
        <v>191</v>
      </c>
      <c r="E36" s="745"/>
      <c r="F36" s="756"/>
      <c r="G36" s="756"/>
      <c r="H36" s="756"/>
      <c r="I36" s="756"/>
      <c r="J36" s="756"/>
      <c r="K36" s="761"/>
      <c r="L36" s="827"/>
    </row>
    <row r="37" spans="2:12" x14ac:dyDescent="0.2">
      <c r="B37" s="679"/>
      <c r="C37" s="745"/>
      <c r="D37" s="762"/>
      <c r="E37" s="745"/>
      <c r="F37" s="756"/>
      <c r="G37" s="756"/>
      <c r="H37" s="756"/>
      <c r="I37" s="756"/>
      <c r="J37" s="756"/>
      <c r="K37" s="761"/>
      <c r="L37" s="827"/>
    </row>
    <row r="38" spans="2:12" x14ac:dyDescent="0.2">
      <c r="B38" s="679"/>
      <c r="C38" s="745"/>
      <c r="D38" s="762" t="s">
        <v>451</v>
      </c>
      <c r="E38" s="745"/>
      <c r="F38" s="763">
        <f>IF(F13=0,0,+bal!J32/F13)</f>
        <v>0</v>
      </c>
      <c r="G38" s="763">
        <f>IF(G13=0,0,+bal!K32/G13)</f>
        <v>0</v>
      </c>
      <c r="H38" s="763">
        <f>IF(H13=0,0,+bal!L32/H13)</f>
        <v>0</v>
      </c>
      <c r="I38" s="763">
        <f>IF(I13=0,0,+bal!M32/I13)</f>
        <v>0</v>
      </c>
      <c r="J38" s="763">
        <f>IF(J13=0,0,+bal!N32/J13)</f>
        <v>0</v>
      </c>
      <c r="K38" s="761"/>
      <c r="L38" s="827"/>
    </row>
    <row r="39" spans="2:12" x14ac:dyDescent="0.2">
      <c r="B39" s="679"/>
      <c r="C39" s="745"/>
      <c r="D39" s="762" t="s">
        <v>452</v>
      </c>
      <c r="E39" s="745"/>
      <c r="F39" s="763">
        <f>IF(F13=0,0,+begr!G14/F13)</f>
        <v>0</v>
      </c>
      <c r="G39" s="763">
        <f>IF(G13=0,0,+begr!H14/G13)</f>
        <v>0</v>
      </c>
      <c r="H39" s="763">
        <f>IF(H13=0,0,+begr!I14/H13)</f>
        <v>0</v>
      </c>
      <c r="I39" s="763">
        <f>IF(I13=0,0,+begr!J14/I13)</f>
        <v>0</v>
      </c>
      <c r="J39" s="763">
        <f>IF(J13=0,0,+begr!K14/J13)</f>
        <v>0</v>
      </c>
      <c r="K39" s="761"/>
      <c r="L39" s="827"/>
    </row>
    <row r="40" spans="2:12" x14ac:dyDescent="0.2">
      <c r="B40" s="679"/>
      <c r="C40" s="745"/>
      <c r="D40" s="762" t="s">
        <v>453</v>
      </c>
      <c r="E40" s="745"/>
      <c r="F40" s="763">
        <f>IF(F13=0,0,+begr!G15/F13)</f>
        <v>0</v>
      </c>
      <c r="G40" s="763">
        <f>IF(G13=0,0,+begr!H15/G13)</f>
        <v>0</v>
      </c>
      <c r="H40" s="763">
        <f>IF(H13=0,0,+begr!I15/H13)</f>
        <v>0</v>
      </c>
      <c r="I40" s="763">
        <f>IF(I13=0,0,+begr!J15/I13)</f>
        <v>0</v>
      </c>
      <c r="J40" s="763">
        <f>IF(J13=0,0,+begr!K15/J13)</f>
        <v>0</v>
      </c>
      <c r="K40" s="761"/>
      <c r="L40" s="827"/>
    </row>
    <row r="41" spans="2:12" x14ac:dyDescent="0.2">
      <c r="B41" s="679"/>
      <c r="C41" s="745"/>
      <c r="D41" s="762" t="s">
        <v>454</v>
      </c>
      <c r="E41" s="745"/>
      <c r="F41" s="763">
        <f>IF(F13=0,0,(begr!G17+begr!G18)/F13)</f>
        <v>0</v>
      </c>
      <c r="G41" s="763">
        <f>IF(G13=0,0,(begr!H17+begr!H18)/G13)</f>
        <v>0</v>
      </c>
      <c r="H41" s="763">
        <f>IF(H13=0,0,(begr!I17+begr!I18)/H13)</f>
        <v>0</v>
      </c>
      <c r="I41" s="763">
        <f>IF(I13=0,0,(begr!J17+begr!J18)/I13)</f>
        <v>0</v>
      </c>
      <c r="J41" s="763">
        <f>IF(J13=0,0,(begr!K17+begr!K18)/J13)</f>
        <v>0</v>
      </c>
      <c r="K41" s="761"/>
      <c r="L41" s="827"/>
    </row>
    <row r="42" spans="2:12" x14ac:dyDescent="0.2">
      <c r="B42" s="679"/>
      <c r="C42" s="745"/>
      <c r="D42" s="762" t="s">
        <v>455</v>
      </c>
      <c r="E42" s="764"/>
      <c r="F42" s="763">
        <f>IF(F13=0,0,act!H25/F13)</f>
        <v>0</v>
      </c>
      <c r="G42" s="763">
        <f>IF(G13=0,0,act!I25/G13)</f>
        <v>0</v>
      </c>
      <c r="H42" s="763">
        <f>IF(H13=0,0,act!J25/H13)</f>
        <v>0</v>
      </c>
      <c r="I42" s="763">
        <f>IF(I13=0,0,act!K25/I13)</f>
        <v>0</v>
      </c>
      <c r="J42" s="763">
        <f>IF(J13=0,0,act!L25/J13)</f>
        <v>0</v>
      </c>
      <c r="K42" s="761"/>
      <c r="L42" s="827"/>
    </row>
    <row r="43" spans="2:12" x14ac:dyDescent="0.2">
      <c r="B43" s="679"/>
      <c r="C43" s="745"/>
      <c r="D43" s="762"/>
      <c r="E43" s="764"/>
      <c r="F43" s="765"/>
      <c r="G43" s="765"/>
      <c r="H43" s="765"/>
      <c r="I43" s="765"/>
      <c r="J43" s="765"/>
      <c r="K43" s="761"/>
      <c r="L43" s="827"/>
    </row>
    <row r="44" spans="2:12" x14ac:dyDescent="0.2">
      <c r="B44" s="679"/>
      <c r="C44" s="745"/>
      <c r="D44" s="766" t="s">
        <v>192</v>
      </c>
      <c r="E44" s="750"/>
      <c r="F44" s="767"/>
      <c r="G44" s="767"/>
      <c r="H44" s="767"/>
      <c r="I44" s="767"/>
      <c r="J44" s="767"/>
      <c r="K44" s="761"/>
      <c r="L44" s="827"/>
    </row>
    <row r="45" spans="2:12" x14ac:dyDescent="0.2">
      <c r="B45" s="679"/>
      <c r="C45" s="768"/>
      <c r="D45" s="769" t="s">
        <v>456</v>
      </c>
      <c r="E45" s="764"/>
      <c r="F45" s="770">
        <f>+bal!J36</f>
        <v>0</v>
      </c>
      <c r="G45" s="770">
        <f>+bal!K36</f>
        <v>0</v>
      </c>
      <c r="H45" s="770">
        <f>+bal!L36</f>
        <v>0</v>
      </c>
      <c r="I45" s="770">
        <f>+bal!M36</f>
        <v>0</v>
      </c>
      <c r="J45" s="770">
        <f>+bal!N36</f>
        <v>0</v>
      </c>
      <c r="K45" s="768"/>
      <c r="L45" s="827"/>
    </row>
    <row r="46" spans="2:12" x14ac:dyDescent="0.2">
      <c r="B46" s="679"/>
      <c r="C46" s="768"/>
      <c r="D46" s="769" t="s">
        <v>457</v>
      </c>
      <c r="E46" s="764"/>
      <c r="F46" s="770">
        <f>+bal!J25</f>
        <v>0</v>
      </c>
      <c r="G46" s="770">
        <f>+bal!K25</f>
        <v>0</v>
      </c>
      <c r="H46" s="770">
        <f>+bal!L25</f>
        <v>0</v>
      </c>
      <c r="I46" s="770">
        <f>+bal!M25</f>
        <v>0</v>
      </c>
      <c r="J46" s="770">
        <f>+bal!N25</f>
        <v>0</v>
      </c>
      <c r="K46" s="768"/>
      <c r="L46" s="827"/>
    </row>
    <row r="47" spans="2:12" x14ac:dyDescent="0.2">
      <c r="B47" s="679"/>
      <c r="C47" s="768"/>
      <c r="D47" s="769"/>
      <c r="E47" s="764"/>
      <c r="F47" s="771">
        <f t="shared" ref="F47:J47" si="4">IF(F46=0,0,F45/F46)</f>
        <v>0</v>
      </c>
      <c r="G47" s="771">
        <f t="shared" si="4"/>
        <v>0</v>
      </c>
      <c r="H47" s="771">
        <f t="shared" si="4"/>
        <v>0</v>
      </c>
      <c r="I47" s="771">
        <f t="shared" si="4"/>
        <v>0</v>
      </c>
      <c r="J47" s="771">
        <f t="shared" si="4"/>
        <v>0</v>
      </c>
      <c r="K47" s="768"/>
      <c r="L47" s="827"/>
    </row>
    <row r="48" spans="2:12" x14ac:dyDescent="0.2">
      <c r="B48" s="679"/>
      <c r="C48" s="745"/>
      <c r="D48" s="766" t="s">
        <v>890</v>
      </c>
      <c r="E48" s="750"/>
      <c r="F48" s="767"/>
      <c r="G48" s="767"/>
      <c r="H48" s="767"/>
      <c r="I48" s="767"/>
      <c r="J48" s="767"/>
      <c r="K48" s="761"/>
      <c r="L48" s="945"/>
    </row>
    <row r="49" spans="2:12" x14ac:dyDescent="0.2">
      <c r="B49" s="679"/>
      <c r="C49" s="768"/>
      <c r="D49" s="769" t="s">
        <v>912</v>
      </c>
      <c r="E49" s="764"/>
      <c r="F49" s="770">
        <f>bal!J36+bal!J41</f>
        <v>0</v>
      </c>
      <c r="G49" s="770">
        <f>bal!K36+bal!K41</f>
        <v>0</v>
      </c>
      <c r="H49" s="770">
        <f>bal!L36+bal!L41</f>
        <v>0</v>
      </c>
      <c r="I49" s="770">
        <f>bal!M36+bal!M41</f>
        <v>0</v>
      </c>
      <c r="J49" s="770">
        <f>bal!N36+bal!N41</f>
        <v>0</v>
      </c>
      <c r="K49" s="768"/>
      <c r="L49" s="945"/>
    </row>
    <row r="50" spans="2:12" x14ac:dyDescent="0.2">
      <c r="B50" s="679"/>
      <c r="C50" s="768"/>
      <c r="D50" s="769" t="s">
        <v>457</v>
      </c>
      <c r="E50" s="764"/>
      <c r="F50" s="770">
        <f>bal!J25</f>
        <v>0</v>
      </c>
      <c r="G50" s="770">
        <f>bal!K25</f>
        <v>0</v>
      </c>
      <c r="H50" s="770">
        <f>bal!L25</f>
        <v>0</v>
      </c>
      <c r="I50" s="770">
        <f>bal!M25</f>
        <v>0</v>
      </c>
      <c r="J50" s="770">
        <f>bal!N25</f>
        <v>0</v>
      </c>
      <c r="K50" s="768"/>
      <c r="L50" s="945"/>
    </row>
    <row r="51" spans="2:12" x14ac:dyDescent="0.2">
      <c r="B51" s="679"/>
      <c r="C51" s="768"/>
      <c r="D51" s="769"/>
      <c r="E51" s="764"/>
      <c r="F51" s="771">
        <f t="shared" ref="F51:J51" si="5">IF(F50=0,0,F49/F50)</f>
        <v>0</v>
      </c>
      <c r="G51" s="771">
        <f t="shared" si="5"/>
        <v>0</v>
      </c>
      <c r="H51" s="771">
        <f t="shared" si="5"/>
        <v>0</v>
      </c>
      <c r="I51" s="771">
        <f t="shared" si="5"/>
        <v>0</v>
      </c>
      <c r="J51" s="771">
        <f t="shared" si="5"/>
        <v>0</v>
      </c>
      <c r="K51" s="768"/>
      <c r="L51" s="945"/>
    </row>
    <row r="52" spans="2:12" x14ac:dyDescent="0.2">
      <c r="B52" s="679"/>
      <c r="C52" s="745"/>
      <c r="D52" s="766" t="s">
        <v>193</v>
      </c>
      <c r="E52" s="772"/>
      <c r="F52" s="756"/>
      <c r="G52" s="756"/>
      <c r="H52" s="756"/>
      <c r="I52" s="756"/>
      <c r="J52" s="756"/>
      <c r="K52" s="761"/>
      <c r="L52" s="827"/>
    </row>
    <row r="53" spans="2:12" x14ac:dyDescent="0.2">
      <c r="B53" s="679"/>
      <c r="C53" s="745"/>
      <c r="D53" s="769" t="s">
        <v>458</v>
      </c>
      <c r="E53" s="764"/>
      <c r="F53" s="770">
        <f>+bal!J23</f>
        <v>0</v>
      </c>
      <c r="G53" s="770">
        <f>+bal!K23</f>
        <v>0</v>
      </c>
      <c r="H53" s="770">
        <f>+bal!L23</f>
        <v>0</v>
      </c>
      <c r="I53" s="770">
        <f>+bal!M23</f>
        <v>0</v>
      </c>
      <c r="J53" s="770">
        <f>+bal!N23</f>
        <v>0</v>
      </c>
      <c r="K53" s="761"/>
      <c r="L53" s="827"/>
    </row>
    <row r="54" spans="2:12" x14ac:dyDescent="0.2">
      <c r="B54" s="679"/>
      <c r="C54" s="745"/>
      <c r="D54" s="769" t="s">
        <v>235</v>
      </c>
      <c r="E54" s="764"/>
      <c r="F54" s="770">
        <f>+bal!J54</f>
        <v>0</v>
      </c>
      <c r="G54" s="770">
        <f>+bal!K54</f>
        <v>0</v>
      </c>
      <c r="H54" s="770">
        <f>+bal!L54</f>
        <v>0</v>
      </c>
      <c r="I54" s="770">
        <f>+bal!M54</f>
        <v>0</v>
      </c>
      <c r="J54" s="770">
        <f>+bal!N54</f>
        <v>0</v>
      </c>
      <c r="K54" s="761"/>
      <c r="L54" s="827"/>
    </row>
    <row r="55" spans="2:12" x14ac:dyDescent="0.2">
      <c r="B55" s="679"/>
      <c r="C55" s="745"/>
      <c r="D55" s="769"/>
      <c r="E55" s="764"/>
      <c r="F55" s="773">
        <f t="shared" ref="F55:J55" si="6">IF(F54=0,0,F53/F54)</f>
        <v>0</v>
      </c>
      <c r="G55" s="773">
        <f t="shared" si="6"/>
        <v>0</v>
      </c>
      <c r="H55" s="773">
        <f t="shared" si="6"/>
        <v>0</v>
      </c>
      <c r="I55" s="773">
        <f t="shared" si="6"/>
        <v>0</v>
      </c>
      <c r="J55" s="773">
        <f t="shared" si="6"/>
        <v>0</v>
      </c>
      <c r="K55" s="761"/>
      <c r="L55" s="827"/>
    </row>
    <row r="56" spans="2:12" x14ac:dyDescent="0.2">
      <c r="B56" s="679"/>
      <c r="C56" s="745"/>
      <c r="D56" s="766" t="s">
        <v>258</v>
      </c>
      <c r="E56" s="772"/>
      <c r="F56" s="756"/>
      <c r="G56" s="756"/>
      <c r="H56" s="756"/>
      <c r="I56" s="756"/>
      <c r="J56" s="756"/>
      <c r="K56" s="761"/>
      <c r="L56" s="827"/>
    </row>
    <row r="57" spans="2:12" x14ac:dyDescent="0.2">
      <c r="B57" s="679"/>
      <c r="C57" s="745"/>
      <c r="D57" s="759" t="s">
        <v>459</v>
      </c>
      <c r="E57" s="764"/>
      <c r="F57" s="770">
        <f>begr!G27</f>
        <v>0</v>
      </c>
      <c r="G57" s="770">
        <f>begr!H27</f>
        <v>0</v>
      </c>
      <c r="H57" s="770">
        <f>begr!I27</f>
        <v>0</v>
      </c>
      <c r="I57" s="770">
        <f>begr!J27</f>
        <v>0</v>
      </c>
      <c r="J57" s="770">
        <f>begr!K27</f>
        <v>0</v>
      </c>
      <c r="K57" s="761"/>
      <c r="L57" s="827"/>
    </row>
    <row r="58" spans="2:12" x14ac:dyDescent="0.2">
      <c r="B58" s="679"/>
      <c r="C58" s="745"/>
      <c r="D58" s="769" t="s">
        <v>443</v>
      </c>
      <c r="E58" s="764"/>
      <c r="F58" s="770">
        <f>+begr!G19</f>
        <v>0</v>
      </c>
      <c r="G58" s="770">
        <f>+begr!H19</f>
        <v>0</v>
      </c>
      <c r="H58" s="770">
        <f>+begr!I19</f>
        <v>0</v>
      </c>
      <c r="I58" s="770">
        <f>+begr!J19</f>
        <v>0</v>
      </c>
      <c r="J58" s="770">
        <f>+begr!K19</f>
        <v>0</v>
      </c>
      <c r="K58" s="761"/>
      <c r="L58" s="827"/>
    </row>
    <row r="59" spans="2:12" x14ac:dyDescent="0.2">
      <c r="B59" s="679"/>
      <c r="C59" s="745"/>
      <c r="D59" s="769"/>
      <c r="E59" s="764"/>
      <c r="F59" s="774">
        <f t="shared" ref="F59:J59" si="7">IF(F58=0,0,F57/F58)</f>
        <v>0</v>
      </c>
      <c r="G59" s="774">
        <f t="shared" si="7"/>
        <v>0</v>
      </c>
      <c r="H59" s="774">
        <f t="shared" si="7"/>
        <v>0</v>
      </c>
      <c r="I59" s="774">
        <f t="shared" si="7"/>
        <v>0</v>
      </c>
      <c r="J59" s="774">
        <f t="shared" si="7"/>
        <v>0</v>
      </c>
      <c r="K59" s="761"/>
      <c r="L59" s="827"/>
    </row>
    <row r="60" spans="2:12" x14ac:dyDescent="0.2">
      <c r="B60" s="679"/>
      <c r="C60" s="745"/>
      <c r="D60" s="775" t="s">
        <v>460</v>
      </c>
      <c r="E60" s="764"/>
      <c r="F60" s="776"/>
      <c r="G60" s="776"/>
      <c r="H60" s="776"/>
      <c r="I60" s="776"/>
      <c r="J60" s="776"/>
      <c r="K60" s="761"/>
      <c r="L60" s="827"/>
    </row>
    <row r="61" spans="2:12" x14ac:dyDescent="0.2">
      <c r="B61" s="679"/>
      <c r="C61" s="745"/>
      <c r="D61" s="769" t="s">
        <v>461</v>
      </c>
      <c r="E61" s="764"/>
      <c r="F61" s="749">
        <f>+bal!J36</f>
        <v>0</v>
      </c>
      <c r="G61" s="749">
        <f>+bal!K36</f>
        <v>0</v>
      </c>
      <c r="H61" s="749">
        <f>+bal!L36</f>
        <v>0</v>
      </c>
      <c r="I61" s="749">
        <f>+bal!M36</f>
        <v>0</v>
      </c>
      <c r="J61" s="749">
        <f>+bal!N36</f>
        <v>0</v>
      </c>
      <c r="K61" s="761"/>
      <c r="L61" s="827"/>
    </row>
    <row r="62" spans="2:12" x14ac:dyDescent="0.2">
      <c r="B62" s="679"/>
      <c r="C62" s="745"/>
      <c r="D62" s="769" t="s">
        <v>462</v>
      </c>
      <c r="E62" s="764"/>
      <c r="F62" s="749">
        <f>+bal!J15</f>
        <v>0</v>
      </c>
      <c r="G62" s="749">
        <f>+bal!K15</f>
        <v>0</v>
      </c>
      <c r="H62" s="749">
        <f>+bal!L15</f>
        <v>0</v>
      </c>
      <c r="I62" s="749">
        <f>+bal!M15</f>
        <v>0</v>
      </c>
      <c r="J62" s="749">
        <f>+bal!N15</f>
        <v>0</v>
      </c>
      <c r="K62" s="761"/>
      <c r="L62" s="827"/>
    </row>
    <row r="63" spans="2:12" x14ac:dyDescent="0.2">
      <c r="B63" s="679"/>
      <c r="C63" s="745"/>
      <c r="D63" s="769" t="s">
        <v>463</v>
      </c>
      <c r="E63" s="764"/>
      <c r="F63" s="749">
        <f>+begr!G14</f>
        <v>0</v>
      </c>
      <c r="G63" s="749">
        <f>+begr!H14</f>
        <v>0</v>
      </c>
      <c r="H63" s="749">
        <f>+begr!I14</f>
        <v>0</v>
      </c>
      <c r="I63" s="749">
        <f>+begr!J14</f>
        <v>0</v>
      </c>
      <c r="J63" s="749">
        <f>+begr!K14</f>
        <v>0</v>
      </c>
      <c r="K63" s="761"/>
      <c r="L63" s="827"/>
    </row>
    <row r="64" spans="2:12" x14ac:dyDescent="0.2">
      <c r="B64" s="679"/>
      <c r="C64" s="745"/>
      <c r="D64" s="769"/>
      <c r="E64" s="764"/>
      <c r="F64" s="774">
        <f t="shared" ref="F64:J64" si="8">IF(F63=0,0,(F61-F62)/F63)</f>
        <v>0</v>
      </c>
      <c r="G64" s="774">
        <f t="shared" si="8"/>
        <v>0</v>
      </c>
      <c r="H64" s="774">
        <f t="shared" si="8"/>
        <v>0</v>
      </c>
      <c r="I64" s="774">
        <f t="shared" si="8"/>
        <v>0</v>
      </c>
      <c r="J64" s="774">
        <f t="shared" si="8"/>
        <v>0</v>
      </c>
      <c r="K64" s="761"/>
      <c r="L64" s="827"/>
    </row>
    <row r="65" spans="2:12" x14ac:dyDescent="0.2">
      <c r="B65" s="679"/>
      <c r="C65" s="761"/>
      <c r="D65" s="777" t="s">
        <v>464</v>
      </c>
      <c r="E65" s="761"/>
      <c r="F65" s="756"/>
      <c r="G65" s="756"/>
      <c r="H65" s="756"/>
      <c r="I65" s="756"/>
      <c r="J65" s="756"/>
      <c r="K65" s="761"/>
      <c r="L65" s="827"/>
    </row>
    <row r="66" spans="2:12" x14ac:dyDescent="0.2">
      <c r="B66" s="679"/>
      <c r="C66" s="761"/>
      <c r="D66" s="778" t="s">
        <v>465</v>
      </c>
      <c r="E66" s="761"/>
      <c r="F66" s="779">
        <f>+bal!J25</f>
        <v>0</v>
      </c>
      <c r="G66" s="779">
        <f>+bal!K25</f>
        <v>0</v>
      </c>
      <c r="H66" s="779">
        <f>+bal!L25</f>
        <v>0</v>
      </c>
      <c r="I66" s="779">
        <f>+bal!M25</f>
        <v>0</v>
      </c>
      <c r="J66" s="779">
        <f>+bal!N25</f>
        <v>0</v>
      </c>
      <c r="K66" s="761"/>
      <c r="L66" s="827"/>
    </row>
    <row r="67" spans="2:12" x14ac:dyDescent="0.2">
      <c r="B67" s="679"/>
      <c r="C67" s="761"/>
      <c r="D67" s="778" t="s">
        <v>466</v>
      </c>
      <c r="E67" s="761"/>
      <c r="F67" s="749">
        <f>+begr!G19</f>
        <v>0</v>
      </c>
      <c r="G67" s="749">
        <f>+begr!H19</f>
        <v>0</v>
      </c>
      <c r="H67" s="749">
        <f>+begr!I19</f>
        <v>0</v>
      </c>
      <c r="I67" s="749">
        <f>+begr!J19</f>
        <v>0</v>
      </c>
      <c r="J67" s="749">
        <f>+begr!K19</f>
        <v>0</v>
      </c>
      <c r="K67" s="761"/>
      <c r="L67" s="827"/>
    </row>
    <row r="68" spans="2:12" x14ac:dyDescent="0.2">
      <c r="B68" s="679"/>
      <c r="C68" s="761"/>
      <c r="D68" s="778"/>
      <c r="E68" s="761"/>
      <c r="F68" s="780" t="e">
        <f t="shared" ref="F68:J68" si="9">F66/F67</f>
        <v>#DIV/0!</v>
      </c>
      <c r="G68" s="780" t="e">
        <f t="shared" si="9"/>
        <v>#DIV/0!</v>
      </c>
      <c r="H68" s="780" t="e">
        <f t="shared" si="9"/>
        <v>#DIV/0!</v>
      </c>
      <c r="I68" s="780" t="e">
        <f t="shared" si="9"/>
        <v>#DIV/0!</v>
      </c>
      <c r="J68" s="780" t="e">
        <f t="shared" si="9"/>
        <v>#DIV/0!</v>
      </c>
      <c r="K68" s="761"/>
      <c r="L68" s="827"/>
    </row>
    <row r="69" spans="2:12" x14ac:dyDescent="0.2">
      <c r="B69" s="679"/>
      <c r="C69" s="799"/>
      <c r="D69" s="800"/>
      <c r="E69" s="799"/>
      <c r="F69" s="801"/>
      <c r="G69" s="801"/>
      <c r="H69" s="801"/>
      <c r="I69" s="801"/>
      <c r="J69" s="801"/>
      <c r="K69" s="799"/>
      <c r="L69" s="827"/>
    </row>
    <row r="70" spans="2:12" x14ac:dyDescent="0.2">
      <c r="B70" s="829"/>
      <c r="C70" s="830"/>
      <c r="D70" s="831"/>
      <c r="E70" s="832"/>
      <c r="F70" s="832"/>
      <c r="G70" s="832"/>
      <c r="H70" s="832"/>
      <c r="I70" s="832"/>
      <c r="J70" s="832"/>
      <c r="K70" s="832"/>
      <c r="L70" s="833"/>
    </row>
    <row r="71" spans="2:12" x14ac:dyDescent="0.2">
      <c r="B71" s="698"/>
      <c r="C71" s="838"/>
      <c r="D71" s="675"/>
      <c r="E71" s="674"/>
      <c r="F71" s="674"/>
      <c r="G71" s="674"/>
      <c r="H71" s="674"/>
      <c r="I71" s="674"/>
      <c r="J71" s="674"/>
      <c r="K71" s="674"/>
      <c r="L71" s="678"/>
    </row>
    <row r="72" spans="2:12" x14ac:dyDescent="0.2">
      <c r="B72" s="679"/>
      <c r="C72" s="810"/>
      <c r="D72" s="811"/>
      <c r="E72" s="812"/>
      <c r="F72" s="812"/>
      <c r="G72" s="812"/>
      <c r="H72" s="812"/>
      <c r="I72" s="812"/>
      <c r="J72" s="812"/>
      <c r="K72" s="812"/>
      <c r="L72" s="827"/>
    </row>
    <row r="73" spans="2:12" x14ac:dyDescent="0.2">
      <c r="B73" s="679"/>
      <c r="C73" s="745"/>
      <c r="D73" s="760" t="s">
        <v>467</v>
      </c>
      <c r="E73" s="781"/>
      <c r="F73" s="756"/>
      <c r="G73" s="756"/>
      <c r="H73" s="756"/>
      <c r="I73" s="756"/>
      <c r="J73" s="756"/>
      <c r="K73" s="761"/>
      <c r="L73" s="827"/>
    </row>
    <row r="74" spans="2:12" x14ac:dyDescent="0.2">
      <c r="B74" s="679"/>
      <c r="C74" s="745"/>
      <c r="D74" s="782"/>
      <c r="E74" s="781"/>
      <c r="F74" s="756"/>
      <c r="G74" s="756"/>
      <c r="H74" s="756"/>
      <c r="I74" s="756"/>
      <c r="J74" s="756"/>
      <c r="K74" s="761"/>
      <c r="L74" s="827"/>
    </row>
    <row r="75" spans="2:12" x14ac:dyDescent="0.2">
      <c r="B75" s="679"/>
      <c r="C75" s="746"/>
      <c r="D75" s="762" t="s">
        <v>468</v>
      </c>
      <c r="E75" s="745"/>
      <c r="F75" s="783">
        <f>IF(F21=0,0,+F15/F21)</f>
        <v>0</v>
      </c>
      <c r="G75" s="783">
        <f>IF(G21=0,0,+G15/G21)</f>
        <v>0</v>
      </c>
      <c r="H75" s="783">
        <f>IF(H21=0,0,+H15/H21)</f>
        <v>0</v>
      </c>
      <c r="I75" s="783">
        <f>IF(I21=0,0,+I15/I21)</f>
        <v>0</v>
      </c>
      <c r="J75" s="783">
        <f>IF(J21=0,0,+J15/J21)</f>
        <v>0</v>
      </c>
      <c r="K75" s="784"/>
      <c r="L75" s="827"/>
    </row>
    <row r="76" spans="2:12" x14ac:dyDescent="0.2">
      <c r="B76" s="679"/>
      <c r="C76" s="745"/>
      <c r="D76" s="762" t="s">
        <v>469</v>
      </c>
      <c r="E76" s="781"/>
      <c r="F76" s="783" t="e">
        <f>+pers!I245/pers!I246</f>
        <v>#DIV/0!</v>
      </c>
      <c r="G76" s="783" t="e">
        <f>+pers!J245/pers!J246</f>
        <v>#DIV/0!</v>
      </c>
      <c r="H76" s="783" t="e">
        <f>+pers!K245/pers!K246</f>
        <v>#DIV/0!</v>
      </c>
      <c r="I76" s="783" t="e">
        <f>+pers!L245/pers!L246</f>
        <v>#DIV/0!</v>
      </c>
      <c r="J76" s="783" t="e">
        <f>+pers!M245/pers!M246</f>
        <v>#DIV/0!</v>
      </c>
      <c r="K76" s="761"/>
      <c r="L76" s="827"/>
    </row>
    <row r="77" spans="2:12" x14ac:dyDescent="0.2">
      <c r="B77" s="679"/>
      <c r="C77" s="745"/>
      <c r="D77" s="762" t="s">
        <v>470</v>
      </c>
      <c r="E77" s="781"/>
      <c r="F77" s="783" t="e">
        <f>+mat!K98/mat!K190</f>
        <v>#DIV/0!</v>
      </c>
      <c r="G77" s="783" t="e">
        <f>+mat!L98/mat!L190</f>
        <v>#DIV/0!</v>
      </c>
      <c r="H77" s="783" t="e">
        <f>+mat!M98/mat!M190</f>
        <v>#DIV/0!</v>
      </c>
      <c r="I77" s="783" t="e">
        <f>+mat!N98/mat!N190</f>
        <v>#DIV/0!</v>
      </c>
      <c r="J77" s="783" t="e">
        <f>+mat!O98/mat!O190</f>
        <v>#DIV/0!</v>
      </c>
      <c r="K77" s="761"/>
      <c r="L77" s="827"/>
    </row>
    <row r="78" spans="2:12" x14ac:dyDescent="0.2">
      <c r="B78" s="679"/>
      <c r="C78" s="746"/>
      <c r="D78" s="762" t="s">
        <v>952</v>
      </c>
      <c r="E78" s="745"/>
      <c r="F78" s="749" t="e">
        <f>+mat!K190/'geg ZO'!K37</f>
        <v>#DIV/0!</v>
      </c>
      <c r="G78" s="749" t="e">
        <f>+mat!L190/'geg ZO'!L37</f>
        <v>#DIV/0!</v>
      </c>
      <c r="H78" s="749" t="e">
        <f>+mat!M190/'geg ZO'!M37</f>
        <v>#DIV/0!</v>
      </c>
      <c r="I78" s="749" t="e">
        <f>+mat!N190/'geg ZO'!N37</f>
        <v>#DIV/0!</v>
      </c>
      <c r="J78" s="749" t="e">
        <f>+mat!O190/'geg ZO'!O37</f>
        <v>#DIV/0!</v>
      </c>
      <c r="K78" s="784"/>
      <c r="L78" s="827"/>
    </row>
    <row r="79" spans="2:12" x14ac:dyDescent="0.2">
      <c r="B79" s="679"/>
      <c r="C79" s="746"/>
      <c r="D79" s="762" t="s">
        <v>471</v>
      </c>
      <c r="E79" s="745"/>
      <c r="F79" s="749" t="e">
        <f>+pers!I208/'geg ZO'!K37</f>
        <v>#DIV/0!</v>
      </c>
      <c r="G79" s="749" t="e">
        <f>+pers!J208/'geg ZO'!L37</f>
        <v>#DIV/0!</v>
      </c>
      <c r="H79" s="749" t="e">
        <f>+pers!K208/'geg ZO'!M37</f>
        <v>#DIV/0!</v>
      </c>
      <c r="I79" s="749" t="e">
        <f>+pers!L208/'geg ZO'!N37</f>
        <v>#DIV/0!</v>
      </c>
      <c r="J79" s="749" t="e">
        <f>+pers!M208/'geg ZO'!O37</f>
        <v>#DIV/0!</v>
      </c>
      <c r="K79" s="784"/>
      <c r="L79" s="827"/>
    </row>
    <row r="80" spans="2:12" x14ac:dyDescent="0.2">
      <c r="B80" s="679"/>
      <c r="C80" s="746"/>
      <c r="D80" s="762" t="s">
        <v>472</v>
      </c>
      <c r="E80" s="745"/>
      <c r="F80" s="749">
        <f>IF(F122=0,0,+F26/F122)</f>
        <v>0</v>
      </c>
      <c r="G80" s="749">
        <f t="shared" ref="G80:J80" si="10">IF(G122=0,0,+G26/G122)</f>
        <v>0</v>
      </c>
      <c r="H80" s="749">
        <f t="shared" si="10"/>
        <v>0</v>
      </c>
      <c r="I80" s="749">
        <f t="shared" si="10"/>
        <v>0</v>
      </c>
      <c r="J80" s="749">
        <f t="shared" si="10"/>
        <v>0</v>
      </c>
      <c r="K80" s="761"/>
      <c r="L80" s="827"/>
    </row>
    <row r="81" spans="1:35" x14ac:dyDescent="0.2">
      <c r="B81" s="679"/>
      <c r="C81" s="746"/>
      <c r="D81" s="762"/>
      <c r="E81" s="745"/>
      <c r="F81" s="756"/>
      <c r="G81" s="756"/>
      <c r="H81" s="756"/>
      <c r="I81" s="756"/>
      <c r="J81" s="756"/>
      <c r="K81" s="784"/>
      <c r="L81" s="827"/>
    </row>
    <row r="82" spans="1:35" x14ac:dyDescent="0.2">
      <c r="B82" s="679"/>
      <c r="C82" s="746"/>
      <c r="D82" s="762" t="s">
        <v>473</v>
      </c>
      <c r="E82" s="745"/>
      <c r="F82" s="783">
        <f>IF(F15=0,0,pers!I128/F15)</f>
        <v>0</v>
      </c>
      <c r="G82" s="783">
        <f>IF(G15=0,0,pers!J128/G15)</f>
        <v>0</v>
      </c>
      <c r="H82" s="783">
        <f>IF(H15=0,0,pers!K128/H15)</f>
        <v>0</v>
      </c>
      <c r="I82" s="783">
        <f>IF(I15=0,0,pers!L128/I15)</f>
        <v>0</v>
      </c>
      <c r="J82" s="783">
        <f>IF(J15=0,0,pers!M128/J15)</f>
        <v>0</v>
      </c>
      <c r="K82" s="784"/>
      <c r="L82" s="827"/>
    </row>
    <row r="83" spans="1:35" x14ac:dyDescent="0.2">
      <c r="B83" s="679"/>
      <c r="C83" s="746"/>
      <c r="D83" s="762" t="s">
        <v>474</v>
      </c>
      <c r="E83" s="745"/>
      <c r="F83" s="783">
        <f>IF(F21=0,0,pers!I208/F21)</f>
        <v>0</v>
      </c>
      <c r="G83" s="783">
        <f>IF(G21=0,0,pers!J208/G21)</f>
        <v>0</v>
      </c>
      <c r="H83" s="783">
        <f>IF(H21=0,0,pers!K208/H21)</f>
        <v>0</v>
      </c>
      <c r="I83" s="783">
        <f>IF(I21=0,0,pers!L208/I21)</f>
        <v>0</v>
      </c>
      <c r="J83" s="783">
        <f>IF(J21=0,0,pers!M208/J21)</f>
        <v>0</v>
      </c>
      <c r="K83" s="761"/>
      <c r="L83" s="827"/>
    </row>
    <row r="84" spans="1:35" x14ac:dyDescent="0.2">
      <c r="B84" s="679"/>
      <c r="C84" s="746"/>
      <c r="D84" s="762" t="s">
        <v>475</v>
      </c>
      <c r="E84" s="745"/>
      <c r="F84" s="783">
        <f>IF(F26=0,0,F26/F21)</f>
        <v>0</v>
      </c>
      <c r="G84" s="783">
        <f>IF(G26=0,0,G26/G21)</f>
        <v>0</v>
      </c>
      <c r="H84" s="783">
        <f>IF(H26=0,0,H26/H21)</f>
        <v>0</v>
      </c>
      <c r="I84" s="783">
        <f>IF(I26=0,0,I26/I21)</f>
        <v>0</v>
      </c>
      <c r="J84" s="783">
        <f>IF(J26=0,0,J26/J21)</f>
        <v>0</v>
      </c>
      <c r="K84" s="784"/>
      <c r="L84" s="827"/>
    </row>
    <row r="85" spans="1:35" x14ac:dyDescent="0.2">
      <c r="B85" s="679"/>
      <c r="C85" s="746"/>
      <c r="D85" s="762" t="s">
        <v>476</v>
      </c>
      <c r="E85" s="745"/>
      <c r="F85" s="783">
        <f>IF(F15=0,0,mat!K98/F15)</f>
        <v>0</v>
      </c>
      <c r="G85" s="783">
        <f>IF(G15=0,0,mat!L98/G15)</f>
        <v>0</v>
      </c>
      <c r="H85" s="783">
        <f>IF(H15=0,0,mat!M98/H15)</f>
        <v>0</v>
      </c>
      <c r="I85" s="783">
        <f>IF(I15=0,0,mat!N98/I15)</f>
        <v>0</v>
      </c>
      <c r="J85" s="783">
        <f>IF(J15=0,0,mat!O98/J15)</f>
        <v>0</v>
      </c>
      <c r="K85" s="784"/>
      <c r="L85" s="827"/>
    </row>
    <row r="86" spans="1:35" x14ac:dyDescent="0.2">
      <c r="B86" s="679"/>
      <c r="C86" s="746"/>
      <c r="D86" s="762" t="s">
        <v>477</v>
      </c>
      <c r="E86" s="745"/>
      <c r="F86" s="783">
        <f>IF(F21=0,0,mat!K190/F21)</f>
        <v>0</v>
      </c>
      <c r="G86" s="783">
        <f>IF(G21=0,0,mat!L190/G21)</f>
        <v>0</v>
      </c>
      <c r="H86" s="783">
        <f>IF(H21=0,0,mat!M190/H21)</f>
        <v>0</v>
      </c>
      <c r="I86" s="783">
        <f>IF(I21=0,0,mat!N190/I21)</f>
        <v>0</v>
      </c>
      <c r="J86" s="783">
        <f>IF(J21=0,0,mat!O190/J21)</f>
        <v>0</v>
      </c>
      <c r="K86" s="784"/>
      <c r="L86" s="827"/>
    </row>
    <row r="87" spans="1:35" x14ac:dyDescent="0.2">
      <c r="B87" s="679"/>
      <c r="C87" s="746"/>
      <c r="D87" s="762"/>
      <c r="E87" s="745"/>
      <c r="F87" s="785"/>
      <c r="G87" s="785"/>
      <c r="H87" s="785"/>
      <c r="I87" s="785"/>
      <c r="J87" s="785"/>
      <c r="K87" s="784"/>
      <c r="L87" s="827"/>
    </row>
    <row r="88" spans="1:35" x14ac:dyDescent="0.2">
      <c r="B88" s="679"/>
      <c r="C88" s="746"/>
      <c r="D88" s="762" t="s">
        <v>566</v>
      </c>
      <c r="E88" s="745"/>
      <c r="F88" s="749" t="e">
        <f>+F25/'geg ZO'!K37</f>
        <v>#DIV/0!</v>
      </c>
      <c r="G88" s="749" t="e">
        <f>+G25/'geg ZO'!L37</f>
        <v>#DIV/0!</v>
      </c>
      <c r="H88" s="749" t="e">
        <f>+H25/'geg ZO'!M37</f>
        <v>#DIV/0!</v>
      </c>
      <c r="I88" s="749" t="e">
        <f>+I25/'geg ZO'!N37</f>
        <v>#DIV/0!</v>
      </c>
      <c r="J88" s="749" t="e">
        <f>+J25/'geg ZO'!O37</f>
        <v>#DIV/0!</v>
      </c>
      <c r="K88" s="761"/>
      <c r="L88" s="827"/>
    </row>
    <row r="89" spans="1:35" x14ac:dyDescent="0.2">
      <c r="B89" s="679"/>
      <c r="C89" s="802"/>
      <c r="D89" s="803"/>
      <c r="E89" s="804"/>
      <c r="F89" s="805"/>
      <c r="G89" s="805"/>
      <c r="H89" s="805"/>
      <c r="I89" s="805"/>
      <c r="J89" s="805"/>
      <c r="K89" s="799"/>
      <c r="L89" s="827"/>
    </row>
    <row r="90" spans="1:35" s="673" customFormat="1" x14ac:dyDescent="0.2">
      <c r="A90" s="742"/>
      <c r="B90" s="822"/>
      <c r="C90" s="821"/>
      <c r="D90" s="823"/>
      <c r="E90" s="821"/>
      <c r="F90" s="824"/>
      <c r="G90" s="824"/>
      <c r="H90" s="824"/>
      <c r="I90" s="824"/>
      <c r="J90" s="824"/>
      <c r="K90" s="821"/>
      <c r="L90" s="825"/>
      <c r="M90" s="742"/>
      <c r="N90" s="742"/>
      <c r="O90" s="742"/>
      <c r="P90" s="742"/>
      <c r="Q90" s="742"/>
      <c r="R90" s="742"/>
      <c r="S90" s="742"/>
      <c r="T90" s="742"/>
      <c r="U90" s="742"/>
      <c r="V90" s="742"/>
      <c r="W90" s="742"/>
      <c r="X90" s="742"/>
      <c r="Y90" s="742"/>
      <c r="Z90" s="742"/>
      <c r="AA90" s="742"/>
      <c r="AB90" s="742"/>
      <c r="AC90" s="742"/>
      <c r="AD90" s="742"/>
      <c r="AE90" s="742"/>
      <c r="AF90" s="742"/>
      <c r="AG90" s="742"/>
      <c r="AH90" s="742"/>
      <c r="AI90" s="742"/>
    </row>
    <row r="91" spans="1:35" s="673" customFormat="1" x14ac:dyDescent="0.2">
      <c r="A91" s="742"/>
      <c r="B91" s="822"/>
      <c r="C91" s="821"/>
      <c r="D91" s="823"/>
      <c r="E91" s="821"/>
      <c r="F91" s="826">
        <f>F7</f>
        <v>2016</v>
      </c>
      <c r="G91" s="826">
        <f>G7</f>
        <v>2017</v>
      </c>
      <c r="H91" s="826">
        <f>H7</f>
        <v>2018</v>
      </c>
      <c r="I91" s="826">
        <f>I7</f>
        <v>2019</v>
      </c>
      <c r="J91" s="826">
        <f>J7</f>
        <v>2020</v>
      </c>
      <c r="K91" s="821"/>
      <c r="L91" s="825"/>
      <c r="M91" s="742"/>
      <c r="N91" s="742"/>
      <c r="O91" s="742"/>
      <c r="P91" s="742"/>
      <c r="Q91" s="742"/>
      <c r="R91" s="742"/>
      <c r="S91" s="742"/>
      <c r="T91" s="742"/>
      <c r="U91" s="742"/>
      <c r="V91" s="742"/>
      <c r="W91" s="742"/>
      <c r="X91" s="742"/>
      <c r="Y91" s="742"/>
      <c r="Z91" s="742"/>
      <c r="AA91" s="742"/>
      <c r="AB91" s="742"/>
      <c r="AC91" s="742"/>
      <c r="AD91" s="742"/>
      <c r="AE91" s="742"/>
      <c r="AF91" s="742"/>
      <c r="AG91" s="742"/>
      <c r="AH91" s="742"/>
      <c r="AI91" s="742"/>
    </row>
    <row r="92" spans="1:35" s="673" customFormat="1" x14ac:dyDescent="0.2">
      <c r="A92" s="742"/>
      <c r="B92" s="822"/>
      <c r="C92" s="821"/>
      <c r="D92" s="823"/>
      <c r="E92" s="821"/>
      <c r="F92" s="824"/>
      <c r="G92" s="824"/>
      <c r="H92" s="824"/>
      <c r="I92" s="824"/>
      <c r="J92" s="824"/>
      <c r="K92" s="821"/>
      <c r="L92" s="825"/>
      <c r="M92" s="742"/>
      <c r="N92" s="742"/>
      <c r="O92" s="742"/>
      <c r="P92" s="742"/>
      <c r="Q92" s="742"/>
      <c r="R92" s="742"/>
      <c r="S92" s="742"/>
      <c r="T92" s="742"/>
      <c r="U92" s="742"/>
      <c r="V92" s="742"/>
      <c r="W92" s="742"/>
      <c r="X92" s="742"/>
      <c r="Y92" s="742"/>
      <c r="Z92" s="742"/>
      <c r="AA92" s="742"/>
      <c r="AB92" s="742"/>
      <c r="AC92" s="742"/>
      <c r="AD92" s="742"/>
      <c r="AE92" s="742"/>
      <c r="AF92" s="742"/>
      <c r="AG92" s="742"/>
      <c r="AH92" s="742"/>
      <c r="AI92" s="742"/>
    </row>
    <row r="93" spans="1:35" s="673" customFormat="1" x14ac:dyDescent="0.2">
      <c r="A93" s="742"/>
      <c r="B93" s="695"/>
      <c r="C93" s="813"/>
      <c r="D93" s="814"/>
      <c r="E93" s="813"/>
      <c r="F93" s="815"/>
      <c r="G93" s="815"/>
      <c r="H93" s="815"/>
      <c r="I93" s="815"/>
      <c r="J93" s="815"/>
      <c r="K93" s="813"/>
      <c r="L93" s="839"/>
      <c r="M93" s="742"/>
      <c r="N93" s="742"/>
      <c r="O93" s="742"/>
      <c r="P93" s="742"/>
      <c r="Q93" s="742"/>
      <c r="R93" s="742"/>
      <c r="S93" s="742"/>
      <c r="T93" s="742"/>
      <c r="U93" s="742"/>
      <c r="V93" s="742"/>
      <c r="W93" s="742"/>
      <c r="X93" s="742"/>
      <c r="Y93" s="742"/>
      <c r="Z93" s="742"/>
      <c r="AA93" s="742"/>
      <c r="AB93" s="742"/>
      <c r="AC93" s="742"/>
      <c r="AD93" s="742"/>
      <c r="AE93" s="742"/>
      <c r="AF93" s="742"/>
      <c r="AG93" s="742"/>
      <c r="AH93" s="742"/>
      <c r="AI93" s="742"/>
    </row>
    <row r="94" spans="1:35" x14ac:dyDescent="0.2">
      <c r="B94" s="693"/>
      <c r="C94" s="788"/>
      <c r="D94" s="789" t="s">
        <v>478</v>
      </c>
      <c r="E94" s="788"/>
      <c r="F94" s="790"/>
      <c r="G94" s="790"/>
      <c r="H94" s="790"/>
      <c r="I94" s="790"/>
      <c r="J94" s="790"/>
      <c r="K94" s="786"/>
      <c r="L94" s="827"/>
    </row>
    <row r="95" spans="1:35" x14ac:dyDescent="0.2">
      <c r="B95" s="679"/>
      <c r="C95" s="790"/>
      <c r="D95" s="791"/>
      <c r="E95" s="788"/>
      <c r="F95" s="787"/>
      <c r="G95" s="787"/>
      <c r="H95" s="787"/>
      <c r="I95" s="787"/>
      <c r="J95" s="787"/>
      <c r="K95" s="786"/>
      <c r="L95" s="827"/>
    </row>
    <row r="96" spans="1:35" x14ac:dyDescent="0.2">
      <c r="B96" s="679"/>
      <c r="C96" s="790"/>
      <c r="D96" s="792" t="s">
        <v>494</v>
      </c>
      <c r="E96" s="790"/>
      <c r="F96" s="783">
        <f>IF('geg LO'!$G21=0,0,+'geg LO'!G21/'geg LO'!$G21)</f>
        <v>0</v>
      </c>
      <c r="G96" s="783">
        <f>IF('geg LO'!$G21=0,0,+'geg LO'!H21/'geg LO'!$G21)</f>
        <v>0</v>
      </c>
      <c r="H96" s="783">
        <f>IF('geg LO'!$G21=0,0,+'geg LO'!I21/'geg LO'!$G21)</f>
        <v>0</v>
      </c>
      <c r="I96" s="783">
        <f>IF('geg LO'!$G21=0,0,+'geg LO'!J21/'geg LO'!$G21)</f>
        <v>0</v>
      </c>
      <c r="J96" s="783">
        <f>IF('geg LO'!$G21=0,0,+'geg LO'!K21/'geg LO'!$G21)</f>
        <v>0</v>
      </c>
      <c r="K96" s="786"/>
      <c r="L96" s="827"/>
    </row>
    <row r="97" spans="2:12" x14ac:dyDescent="0.2">
      <c r="B97" s="679"/>
      <c r="C97" s="790"/>
      <c r="D97" s="792" t="s">
        <v>495</v>
      </c>
      <c r="E97" s="790"/>
      <c r="F97" s="783">
        <f>IF('geg LO'!$G22=0,0,+'geg LO'!G22/'geg LO'!$G22)</f>
        <v>0</v>
      </c>
      <c r="G97" s="783">
        <f>IF('geg LO'!$G22=0,0,+'geg LO'!H22/'geg LO'!$G22)</f>
        <v>0</v>
      </c>
      <c r="H97" s="783">
        <f>IF('geg LO'!$G22=0,0,+'geg LO'!I22/'geg LO'!$G22)</f>
        <v>0</v>
      </c>
      <c r="I97" s="783">
        <f>IF('geg LO'!$G22=0,0,+'geg LO'!J22/'geg LO'!$G22)</f>
        <v>0</v>
      </c>
      <c r="J97" s="783">
        <f>IF('geg LO'!$G22=0,0,+'geg LO'!K22/'geg LO'!$G22)</f>
        <v>0</v>
      </c>
      <c r="K97" s="786"/>
      <c r="L97" s="827"/>
    </row>
    <row r="98" spans="2:12" x14ac:dyDescent="0.2">
      <c r="B98" s="679"/>
      <c r="C98" s="790"/>
      <c r="D98" s="792" t="s">
        <v>496</v>
      </c>
      <c r="E98" s="790"/>
      <c r="F98" s="783">
        <f>IF('geg LO'!$G23=0,0,+'geg LO'!G23/'geg LO'!$G23)</f>
        <v>0</v>
      </c>
      <c r="G98" s="783">
        <f>IF('geg LO'!$G23=0,0,+'geg LO'!H23/'geg LO'!$G23)</f>
        <v>0</v>
      </c>
      <c r="H98" s="783">
        <f>IF('geg LO'!$G23=0,0,+'geg LO'!I23/'geg LO'!$G23)</f>
        <v>0</v>
      </c>
      <c r="I98" s="783">
        <f>IF('geg LO'!$G23=0,0,+'geg LO'!J23/'geg LO'!$G23)</f>
        <v>0</v>
      </c>
      <c r="J98" s="783">
        <f>IF('geg LO'!$G23=0,0,+'geg LO'!K23/'geg LO'!$G23)</f>
        <v>0</v>
      </c>
      <c r="K98" s="786"/>
      <c r="L98" s="827"/>
    </row>
    <row r="99" spans="2:12" x14ac:dyDescent="0.2">
      <c r="B99" s="679"/>
      <c r="C99" s="790"/>
      <c r="D99" s="792" t="s">
        <v>497</v>
      </c>
      <c r="E99" s="790"/>
      <c r="F99" s="783">
        <f>IF('geg LO'!$G24=0,0,+'geg LO'!G24/'geg LO'!$G24)</f>
        <v>0</v>
      </c>
      <c r="G99" s="783">
        <f>IF('geg LO'!$G24=0,0,+'geg LO'!H24/'geg LO'!$G24)</f>
        <v>0</v>
      </c>
      <c r="H99" s="783">
        <f>IF('geg LO'!$G24=0,0,+'geg LO'!I24/'geg LO'!$G24)</f>
        <v>0</v>
      </c>
      <c r="I99" s="783">
        <f>IF('geg LO'!$G24=0,0,+'geg LO'!J24/'geg LO'!$G24)</f>
        <v>0</v>
      </c>
      <c r="J99" s="783">
        <f>IF('geg LO'!$G24=0,0,+'geg LO'!K24/'geg LO'!$G24)</f>
        <v>0</v>
      </c>
      <c r="K99" s="786"/>
      <c r="L99" s="827"/>
    </row>
    <row r="100" spans="2:12" x14ac:dyDescent="0.2">
      <c r="B100" s="679"/>
      <c r="C100" s="790"/>
      <c r="D100" s="792" t="s">
        <v>500</v>
      </c>
      <c r="E100" s="790"/>
      <c r="F100" s="783">
        <f>IF(+'geg ZO'!$J32=0,0,'geg ZO'!J32/'geg ZO'!$J32)</f>
        <v>0</v>
      </c>
      <c r="G100" s="783">
        <f>IF(+'geg ZO'!$J32=0,0,'geg ZO'!K32/'geg ZO'!$J32)</f>
        <v>0</v>
      </c>
      <c r="H100" s="783">
        <f>IF(+'geg ZO'!$J32=0,0,'geg ZO'!L32/'geg ZO'!$J32)</f>
        <v>0</v>
      </c>
      <c r="I100" s="783">
        <f>IF(+'geg ZO'!$J32=0,0,'geg ZO'!M32/'geg ZO'!$J32)</f>
        <v>0</v>
      </c>
      <c r="J100" s="783">
        <f>IF(+'geg ZO'!$J32=0,0,'geg ZO'!N32/'geg ZO'!$J32)</f>
        <v>0</v>
      </c>
      <c r="K100" s="786"/>
      <c r="L100" s="827"/>
    </row>
    <row r="101" spans="2:12" x14ac:dyDescent="0.2">
      <c r="B101" s="679"/>
      <c r="C101" s="790"/>
      <c r="D101" s="792" t="s">
        <v>501</v>
      </c>
      <c r="E101" s="790"/>
      <c r="F101" s="783">
        <f>IF(+'geg ZO'!$J33=0,0,'geg ZO'!J33/'geg ZO'!$J33)</f>
        <v>0</v>
      </c>
      <c r="G101" s="783">
        <f>IF(+'geg ZO'!$J33=0,0,'geg ZO'!K33/'geg ZO'!$J33)</f>
        <v>0</v>
      </c>
      <c r="H101" s="783">
        <f>IF(+'geg ZO'!$J33=0,0,'geg ZO'!L33/'geg ZO'!$J33)</f>
        <v>0</v>
      </c>
      <c r="I101" s="783">
        <f>IF(+'geg ZO'!$J33=0,0,'geg ZO'!M33/'geg ZO'!$J33)</f>
        <v>0</v>
      </c>
      <c r="J101" s="783">
        <f>IF(+'geg ZO'!$J33=0,0,'geg ZO'!N33/'geg ZO'!$J33)</f>
        <v>0</v>
      </c>
      <c r="K101" s="786"/>
      <c r="L101" s="827"/>
    </row>
    <row r="102" spans="2:12" x14ac:dyDescent="0.2">
      <c r="B102" s="679"/>
      <c r="C102" s="790"/>
      <c r="D102" s="792" t="s">
        <v>502</v>
      </c>
      <c r="E102" s="790"/>
      <c r="F102" s="783">
        <f>IF(+'geg ZO'!$J34=0,0,'geg ZO'!J34/'geg ZO'!$J34)</f>
        <v>0</v>
      </c>
      <c r="G102" s="783">
        <f>IF(+'geg ZO'!$J34=0,0,'geg ZO'!K34/'geg ZO'!$J34)</f>
        <v>0</v>
      </c>
      <c r="H102" s="783">
        <f>IF(+'geg ZO'!$J34=0,0,'geg ZO'!L34/'geg ZO'!$J34)</f>
        <v>0</v>
      </c>
      <c r="I102" s="783">
        <f>IF(+'geg ZO'!$J34=0,0,'geg ZO'!M34/'geg ZO'!$J34)</f>
        <v>0</v>
      </c>
      <c r="J102" s="783">
        <f>IF(+'geg ZO'!$J34=0,0,'geg ZO'!N34/'geg ZO'!$J34)</f>
        <v>0</v>
      </c>
      <c r="K102" s="786"/>
      <c r="L102" s="827"/>
    </row>
    <row r="103" spans="2:12" x14ac:dyDescent="0.2">
      <c r="B103" s="679"/>
      <c r="C103" s="790"/>
      <c r="D103" s="792" t="s">
        <v>499</v>
      </c>
      <c r="E103" s="790"/>
      <c r="F103" s="783">
        <f>IF(+'geg ZO'!$J35=0,0,'geg ZO'!J35/'geg ZO'!$J35)</f>
        <v>0</v>
      </c>
      <c r="G103" s="783">
        <f>IF(+'geg ZO'!$J35=0,0,'geg ZO'!K35/'geg ZO'!$J35)</f>
        <v>0</v>
      </c>
      <c r="H103" s="783">
        <f>IF(+'geg ZO'!$J35=0,0,'geg ZO'!L35/'geg ZO'!$J35)</f>
        <v>0</v>
      </c>
      <c r="I103" s="783">
        <f>IF(+'geg ZO'!$J35=0,0,'geg ZO'!M35/'geg ZO'!$J35)</f>
        <v>0</v>
      </c>
      <c r="J103" s="783">
        <f>IF(+'geg ZO'!$J35=0,0,'geg ZO'!N35/'geg ZO'!$J35)</f>
        <v>0</v>
      </c>
      <c r="K103" s="786"/>
      <c r="L103" s="827"/>
    </row>
    <row r="104" spans="2:12" x14ac:dyDescent="0.2">
      <c r="B104" s="679"/>
      <c r="C104" s="790"/>
      <c r="D104" s="792" t="s">
        <v>498</v>
      </c>
      <c r="E104" s="790"/>
      <c r="F104" s="783">
        <f>IF(+'geg ZO'!$J37=0,0,'geg ZO'!J37/'geg ZO'!$J37)</f>
        <v>0</v>
      </c>
      <c r="G104" s="783">
        <f>IF(+'geg ZO'!$J37=0,0,'geg ZO'!K37/'geg ZO'!$J37)</f>
        <v>0</v>
      </c>
      <c r="H104" s="783">
        <f>IF(+'geg ZO'!$J37=0,0,'geg ZO'!L37/'geg ZO'!$J37)</f>
        <v>0</v>
      </c>
      <c r="I104" s="783">
        <f>IF(+'geg ZO'!$J37=0,0,'geg ZO'!M37/'geg ZO'!$J37)</f>
        <v>0</v>
      </c>
      <c r="J104" s="783">
        <f>IF(+'geg ZO'!$J37=0,0,'geg ZO'!N37/'geg ZO'!$J37)</f>
        <v>0</v>
      </c>
      <c r="K104" s="786"/>
      <c r="L104" s="827"/>
    </row>
    <row r="105" spans="2:12" x14ac:dyDescent="0.2">
      <c r="B105" s="679"/>
      <c r="C105" s="790"/>
      <c r="D105" s="792" t="s">
        <v>567</v>
      </c>
      <c r="E105" s="790"/>
      <c r="F105" s="783">
        <f>IF($F122=0,0,+F122/$F122)</f>
        <v>0</v>
      </c>
      <c r="G105" s="783">
        <f t="shared" ref="G105:I105" si="11">IF($F122=0,0,+G122/$F122)</f>
        <v>0</v>
      </c>
      <c r="H105" s="783">
        <f t="shared" si="11"/>
        <v>0</v>
      </c>
      <c r="I105" s="783">
        <f t="shared" si="11"/>
        <v>0</v>
      </c>
      <c r="J105" s="783">
        <f>IF($F122=0,0,+J122/$F122)</f>
        <v>0</v>
      </c>
      <c r="K105" s="786"/>
      <c r="L105" s="827"/>
    </row>
    <row r="106" spans="2:12" x14ac:dyDescent="0.2">
      <c r="B106" s="679"/>
      <c r="C106" s="790"/>
      <c r="D106" s="792" t="s">
        <v>479</v>
      </c>
      <c r="E106" s="790"/>
      <c r="F106" s="783">
        <f>IF($F26=0,0,F26/$F26)</f>
        <v>0</v>
      </c>
      <c r="G106" s="783">
        <f>IF($F26=0,0,G26/$F26)</f>
        <v>0</v>
      </c>
      <c r="H106" s="783">
        <f>IF($F26=0,0,H26/$F26)</f>
        <v>0</v>
      </c>
      <c r="I106" s="783">
        <f>IF($F26=0,0,I26/$F26)</f>
        <v>0</v>
      </c>
      <c r="J106" s="783">
        <f>IF($F26=0,0,J26/$F26)</f>
        <v>0</v>
      </c>
      <c r="K106" s="786"/>
      <c r="L106" s="827"/>
    </row>
    <row r="107" spans="2:12" x14ac:dyDescent="0.2">
      <c r="B107" s="679"/>
      <c r="C107" s="790"/>
      <c r="D107" s="792" t="s">
        <v>480</v>
      </c>
      <c r="E107" s="790"/>
      <c r="F107" s="783">
        <f>IF($F15=0,0,F15/$F15)</f>
        <v>0</v>
      </c>
      <c r="G107" s="783">
        <f>IF($F15=0,0,G15/$F15)</f>
        <v>0</v>
      </c>
      <c r="H107" s="783">
        <f>IF($F15=0,0,H15/$F15)</f>
        <v>0</v>
      </c>
      <c r="I107" s="783">
        <f>IF($F15=0,0,I15/$F15)</f>
        <v>0</v>
      </c>
      <c r="J107" s="783">
        <f>IF($F15=0,0,J15/$F15)</f>
        <v>0</v>
      </c>
      <c r="K107" s="786"/>
      <c r="L107" s="827"/>
    </row>
    <row r="108" spans="2:12" x14ac:dyDescent="0.2">
      <c r="B108" s="679"/>
      <c r="C108" s="790"/>
      <c r="D108" s="792" t="s">
        <v>481</v>
      </c>
      <c r="E108" s="790"/>
      <c r="F108" s="783">
        <f>IF($F63=0,0,+F63/$F63)</f>
        <v>0</v>
      </c>
      <c r="G108" s="783">
        <f>IF($F63=0,0,+G63/$F63)</f>
        <v>0</v>
      </c>
      <c r="H108" s="783">
        <f>IF($F63=0,0,+H63/$F63)</f>
        <v>0</v>
      </c>
      <c r="I108" s="783">
        <f>IF($F63=0,0,+I63/$F63)</f>
        <v>0</v>
      </c>
      <c r="J108" s="783">
        <f>IF($F63=0,0,+J63/$F63)</f>
        <v>0</v>
      </c>
      <c r="K108" s="786"/>
      <c r="L108" s="827"/>
    </row>
    <row r="109" spans="2:12" x14ac:dyDescent="0.2">
      <c r="B109" s="679"/>
      <c r="C109" s="790"/>
      <c r="D109" s="792" t="s">
        <v>482</v>
      </c>
      <c r="E109" s="790"/>
      <c r="F109" s="783">
        <f>IF(+begr!$G15=0,0,begr!G15/begr!$G15)</f>
        <v>0</v>
      </c>
      <c r="G109" s="783">
        <f>IF(+begr!$G15=0,0,begr!H15/begr!$G15)</f>
        <v>0</v>
      </c>
      <c r="H109" s="783">
        <f>IF(+begr!$G15=0,0,begr!I15/begr!$G15)</f>
        <v>0</v>
      </c>
      <c r="I109" s="783">
        <f>IF(+begr!$G15=0,0,begr!J15/begr!$G15)</f>
        <v>0</v>
      </c>
      <c r="J109" s="783">
        <f>IF(+begr!$G15=0,0,begr!K15/begr!$G15)</f>
        <v>0</v>
      </c>
      <c r="K109" s="786"/>
      <c r="L109" s="827"/>
    </row>
    <row r="110" spans="2:12" x14ac:dyDescent="0.2">
      <c r="B110" s="679"/>
      <c r="C110" s="790"/>
      <c r="D110" s="792" t="s">
        <v>483</v>
      </c>
      <c r="E110" s="790"/>
      <c r="F110" s="783">
        <f>IF(begr!$G17=0,0,begr!G17/begr!$G17)</f>
        <v>0</v>
      </c>
      <c r="G110" s="783">
        <f>IF(begr!$G17=0,0,begr!H17/begr!$G17)</f>
        <v>0</v>
      </c>
      <c r="H110" s="783">
        <f>IF(begr!$G17=0,0,begr!I17/begr!$G17)</f>
        <v>0</v>
      </c>
      <c r="I110" s="783">
        <f>IF(begr!$G17=0,0,begr!J17/begr!$G17)</f>
        <v>0</v>
      </c>
      <c r="J110" s="783">
        <f>IF(begr!$G17=0,0,begr!K17/begr!$G17)</f>
        <v>0</v>
      </c>
      <c r="K110" s="786"/>
      <c r="L110" s="827"/>
    </row>
    <row r="111" spans="2:12" x14ac:dyDescent="0.2">
      <c r="B111" s="679"/>
      <c r="C111" s="790"/>
      <c r="D111" s="792" t="s">
        <v>484</v>
      </c>
      <c r="E111" s="790"/>
      <c r="F111" s="783">
        <f>IF(begr!$G18=0,0,begr!G18/begr!$G18)</f>
        <v>0</v>
      </c>
      <c r="G111" s="783">
        <f>IF(begr!$G18=0,0,begr!H18/begr!$G18)</f>
        <v>0</v>
      </c>
      <c r="H111" s="783">
        <f>IF(begr!$G18=0,0,begr!I18/begr!$G18)</f>
        <v>0</v>
      </c>
      <c r="I111" s="783">
        <f>IF(begr!$G18=0,0,begr!J18/begr!$G18)</f>
        <v>0</v>
      </c>
      <c r="J111" s="783">
        <f>IF(begr!$G18=0,0,begr!K18/begr!$G18)</f>
        <v>0</v>
      </c>
      <c r="K111" s="786"/>
      <c r="L111" s="827"/>
    </row>
    <row r="112" spans="2:12" x14ac:dyDescent="0.2">
      <c r="B112" s="679"/>
      <c r="C112" s="790"/>
      <c r="D112" s="792" t="s">
        <v>485</v>
      </c>
      <c r="E112" s="790"/>
      <c r="F112" s="783">
        <f>IF($F21=0,0,+F21/$F21)</f>
        <v>0</v>
      </c>
      <c r="G112" s="783">
        <f>IF($F21=0,0,+G21/$F21)</f>
        <v>0</v>
      </c>
      <c r="H112" s="783">
        <f>IF($F21=0,0,+H21/$F21)</f>
        <v>0</v>
      </c>
      <c r="I112" s="783">
        <f>IF($F21=0,0,+I21/$F21)</f>
        <v>0</v>
      </c>
      <c r="J112" s="783">
        <f>IF($F21=0,0,+J21/$F21)</f>
        <v>0</v>
      </c>
      <c r="K112" s="786"/>
      <c r="L112" s="827"/>
    </row>
    <row r="113" spans="2:12" x14ac:dyDescent="0.2">
      <c r="B113" s="679"/>
      <c r="C113" s="790"/>
      <c r="D113" s="792" t="s">
        <v>486</v>
      </c>
      <c r="E113" s="790"/>
      <c r="F113" s="783">
        <f>IF($F26=0,0,+F26/$F26)</f>
        <v>0</v>
      </c>
      <c r="G113" s="783">
        <f>IF($F26=0,0,+G26/$F26)</f>
        <v>0</v>
      </c>
      <c r="H113" s="783">
        <f>IF($F26=0,0,+H26/$F26)</f>
        <v>0</v>
      </c>
      <c r="I113" s="783">
        <f>IF($F26=0,0,+I26/$F26)</f>
        <v>0</v>
      </c>
      <c r="J113" s="783">
        <f>IF($F26=0,0,+J26/$F26)</f>
        <v>0</v>
      </c>
      <c r="K113" s="786"/>
      <c r="L113" s="827"/>
    </row>
    <row r="114" spans="2:12" x14ac:dyDescent="0.2">
      <c r="B114" s="679"/>
      <c r="C114" s="790"/>
      <c r="D114" s="792" t="s">
        <v>487</v>
      </c>
      <c r="E114" s="790"/>
      <c r="F114" s="783">
        <f>IF(begr!$G22=0,0,+begr!G22/begr!$G22)</f>
        <v>0</v>
      </c>
      <c r="G114" s="783">
        <f>IF(begr!$G22=0,0,+begr!H22/begr!$G22)</f>
        <v>0</v>
      </c>
      <c r="H114" s="783">
        <f>IF(begr!$G22=0,0,+begr!I22/begr!$G22)</f>
        <v>0</v>
      </c>
      <c r="I114" s="783">
        <f>IF(begr!$G22=0,0,+begr!J22/begr!$G22)</f>
        <v>0</v>
      </c>
      <c r="J114" s="783">
        <f>IF(begr!$G22=0,0,+begr!K22/begr!$G22)</f>
        <v>0</v>
      </c>
      <c r="K114" s="786"/>
      <c r="L114" s="827"/>
    </row>
    <row r="115" spans="2:12" x14ac:dyDescent="0.2">
      <c r="B115" s="679"/>
      <c r="C115" s="790"/>
      <c r="D115" s="792" t="s">
        <v>488</v>
      </c>
      <c r="E115" s="790"/>
      <c r="F115" s="783">
        <f>IF($F33=0,0,F33/$F33)</f>
        <v>0</v>
      </c>
      <c r="G115" s="783">
        <f>IF($F33=0,0,G33/$F33)</f>
        <v>0</v>
      </c>
      <c r="H115" s="783">
        <f>IF($F33=0,0,H33/$F33)</f>
        <v>0</v>
      </c>
      <c r="I115" s="783">
        <f>IF($F33=0,0,I33/$F33)</f>
        <v>0</v>
      </c>
      <c r="J115" s="783">
        <f>IF($F33=0,0,J33/$F33)</f>
        <v>0</v>
      </c>
      <c r="K115" s="786"/>
      <c r="L115" s="827"/>
    </row>
    <row r="116" spans="2:12" x14ac:dyDescent="0.2">
      <c r="B116" s="679"/>
      <c r="C116" s="790"/>
      <c r="D116" s="793" t="s">
        <v>489</v>
      </c>
      <c r="E116" s="790"/>
      <c r="F116" s="783">
        <f>IF(begr!$G24=0,0,+begr!G24/begr!$G24)</f>
        <v>0</v>
      </c>
      <c r="G116" s="783">
        <f>IF(begr!$G24=0,0,+begr!H24/begr!$G24)</f>
        <v>0</v>
      </c>
      <c r="H116" s="783">
        <f>IF(begr!$G24=0,0,+begr!I24/begr!$G24)</f>
        <v>0</v>
      </c>
      <c r="I116" s="783">
        <f>IF(begr!$G24=0,0,+begr!J24/begr!$G24)</f>
        <v>0</v>
      </c>
      <c r="J116" s="783">
        <f>IF(begr!$G24=0,0,+begr!K24/begr!$G24)</f>
        <v>0</v>
      </c>
      <c r="K116" s="786"/>
      <c r="L116" s="827"/>
    </row>
    <row r="117" spans="2:12" x14ac:dyDescent="0.2">
      <c r="B117" s="679"/>
      <c r="C117" s="806"/>
      <c r="D117" s="807"/>
      <c r="E117" s="806"/>
      <c r="F117" s="808"/>
      <c r="G117" s="808"/>
      <c r="H117" s="808"/>
      <c r="I117" s="808"/>
      <c r="J117" s="808"/>
      <c r="K117" s="809"/>
      <c r="L117" s="827"/>
    </row>
    <row r="118" spans="2:12" x14ac:dyDescent="0.2">
      <c r="B118" s="819"/>
      <c r="C118" s="834"/>
      <c r="D118" s="835"/>
      <c r="E118" s="834"/>
      <c r="F118" s="836"/>
      <c r="G118" s="836"/>
      <c r="H118" s="836"/>
      <c r="I118" s="836"/>
      <c r="J118" s="836"/>
      <c r="K118" s="837"/>
      <c r="L118" s="820"/>
    </row>
    <row r="119" spans="2:12" x14ac:dyDescent="0.2">
      <c r="B119" s="679"/>
      <c r="C119" s="816"/>
      <c r="D119" s="817"/>
      <c r="E119" s="816"/>
      <c r="F119" s="818"/>
      <c r="G119" s="818"/>
      <c r="H119" s="818"/>
      <c r="I119" s="818"/>
      <c r="J119" s="818"/>
      <c r="K119" s="813"/>
      <c r="L119" s="827"/>
    </row>
    <row r="120" spans="2:12" x14ac:dyDescent="0.2">
      <c r="B120" s="679"/>
      <c r="C120" s="790"/>
      <c r="D120" s="795" t="s">
        <v>490</v>
      </c>
      <c r="E120" s="790"/>
      <c r="F120" s="796" t="str">
        <f>+tab!E2</f>
        <v>2015/16</v>
      </c>
      <c r="G120" s="796" t="str">
        <f>+tab!F2</f>
        <v>2016/17</v>
      </c>
      <c r="H120" s="796" t="str">
        <f>+tab!G2</f>
        <v>2017/18</v>
      </c>
      <c r="I120" s="796" t="str">
        <f>+tab!H2</f>
        <v>2018/19</v>
      </c>
      <c r="J120" s="796" t="str">
        <f>+tab!I2</f>
        <v>2019/20</v>
      </c>
      <c r="K120" s="790"/>
      <c r="L120" s="827"/>
    </row>
    <row r="121" spans="2:12" x14ac:dyDescent="0.2">
      <c r="B121" s="679"/>
      <c r="C121" s="790"/>
      <c r="D121" s="795"/>
      <c r="E121" s="790"/>
      <c r="F121" s="790"/>
      <c r="G121" s="790"/>
      <c r="H121" s="790"/>
      <c r="I121" s="790"/>
      <c r="J121" s="790"/>
      <c r="K121" s="790"/>
      <c r="L121" s="827"/>
    </row>
    <row r="122" spans="2:12" x14ac:dyDescent="0.2">
      <c r="B122" s="679"/>
      <c r="C122" s="790"/>
      <c r="D122" s="797" t="s">
        <v>604</v>
      </c>
      <c r="E122" s="790"/>
      <c r="F122" s="783">
        <f>'sal SWV'!K67</f>
        <v>0</v>
      </c>
      <c r="G122" s="783">
        <f>+'sal SWV'!K99</f>
        <v>0</v>
      </c>
      <c r="H122" s="783">
        <f>+'sal SWV'!K131</f>
        <v>0</v>
      </c>
      <c r="I122" s="783">
        <f>+'sal SWV'!K163</f>
        <v>0</v>
      </c>
      <c r="J122" s="783">
        <f>+'sal SWV'!K195</f>
        <v>0</v>
      </c>
      <c r="K122" s="798"/>
      <c r="L122" s="827"/>
    </row>
    <row r="123" spans="2:12" x14ac:dyDescent="0.2">
      <c r="B123" s="679"/>
      <c r="C123" s="790"/>
      <c r="D123" s="792"/>
      <c r="E123" s="790"/>
      <c r="F123" s="794"/>
      <c r="G123" s="794"/>
      <c r="H123" s="794"/>
      <c r="I123" s="794"/>
      <c r="J123" s="794"/>
      <c r="K123" s="786"/>
      <c r="L123" s="827"/>
    </row>
    <row r="124" spans="2:12" x14ac:dyDescent="0.2">
      <c r="B124" s="679"/>
      <c r="C124" s="680"/>
      <c r="D124" s="681"/>
      <c r="E124" s="680"/>
      <c r="F124" s="696"/>
      <c r="G124" s="696"/>
      <c r="H124" s="696"/>
      <c r="I124" s="696"/>
      <c r="J124" s="696"/>
      <c r="K124" s="683"/>
      <c r="L124" s="827"/>
    </row>
    <row r="125" spans="2:12" x14ac:dyDescent="0.2">
      <c r="B125" s="697"/>
      <c r="C125" s="840"/>
      <c r="D125" s="841"/>
      <c r="E125" s="840"/>
      <c r="F125" s="842"/>
      <c r="G125" s="842"/>
      <c r="H125" s="842"/>
      <c r="I125" s="842"/>
      <c r="J125" s="842"/>
      <c r="K125" s="843"/>
      <c r="L125" s="844"/>
    </row>
    <row r="126" spans="2:12" s="739" customFormat="1" x14ac:dyDescent="0.2">
      <c r="D126" s="740"/>
      <c r="F126" s="741"/>
      <c r="G126" s="741"/>
      <c r="H126" s="741"/>
      <c r="I126" s="741"/>
      <c r="J126" s="741"/>
      <c r="K126" s="742"/>
    </row>
    <row r="127" spans="2:12" s="739" customFormat="1" x14ac:dyDescent="0.2">
      <c r="D127" s="740"/>
      <c r="F127" s="741"/>
      <c r="G127" s="741"/>
      <c r="H127" s="741"/>
      <c r="I127" s="741"/>
      <c r="J127" s="741"/>
      <c r="K127" s="742"/>
    </row>
    <row r="128" spans="2:12" s="739" customFormat="1" x14ac:dyDescent="0.2">
      <c r="D128" s="740"/>
      <c r="K128" s="742"/>
    </row>
    <row r="129" spans="4:11" s="739" customFormat="1" x14ac:dyDescent="0.2">
      <c r="D129" s="740"/>
      <c r="K129" s="742"/>
    </row>
    <row r="130" spans="4:11" s="739" customFormat="1" x14ac:dyDescent="0.2">
      <c r="D130" s="740"/>
      <c r="K130" s="742"/>
    </row>
    <row r="131" spans="4:11" s="739" customFormat="1" x14ac:dyDescent="0.2"/>
    <row r="132" spans="4:11" s="739" customFormat="1" x14ac:dyDescent="0.2"/>
    <row r="133" spans="4:11" s="739" customFormat="1" x14ac:dyDescent="0.2"/>
    <row r="134" spans="4:11" s="739" customFormat="1" x14ac:dyDescent="0.2"/>
    <row r="135" spans="4:11" s="739" customFormat="1" x14ac:dyDescent="0.2"/>
    <row r="136" spans="4:11" s="739" customFormat="1" x14ac:dyDescent="0.2">
      <c r="D136" s="740"/>
      <c r="K136" s="742"/>
    </row>
    <row r="137" spans="4:11" s="739" customFormat="1" x14ac:dyDescent="0.2">
      <c r="D137" s="740"/>
      <c r="K137" s="742"/>
    </row>
    <row r="138" spans="4:11" s="739" customFormat="1" x14ac:dyDescent="0.2">
      <c r="D138" s="740"/>
      <c r="K138" s="742"/>
    </row>
    <row r="139" spans="4:11" s="739" customFormat="1" x14ac:dyDescent="0.2">
      <c r="D139" s="740"/>
      <c r="K139" s="742"/>
    </row>
    <row r="140" spans="4:11" s="739" customFormat="1" x14ac:dyDescent="0.2">
      <c r="D140" s="740"/>
      <c r="K140" s="742"/>
    </row>
    <row r="141" spans="4:11" s="739" customFormat="1" x14ac:dyDescent="0.2">
      <c r="D141" s="740"/>
      <c r="F141" s="741"/>
      <c r="G141" s="741"/>
      <c r="H141" s="741"/>
      <c r="I141" s="741"/>
      <c r="J141" s="741"/>
      <c r="K141" s="742"/>
    </row>
    <row r="142" spans="4:11" s="739" customFormat="1" x14ac:dyDescent="0.2">
      <c r="D142" s="740"/>
      <c r="F142" s="741"/>
      <c r="G142" s="741"/>
      <c r="H142" s="741"/>
      <c r="I142" s="741"/>
      <c r="J142" s="741"/>
      <c r="K142" s="742"/>
    </row>
    <row r="143" spans="4:11" s="739" customFormat="1" x14ac:dyDescent="0.2">
      <c r="D143" s="740"/>
      <c r="F143" s="741"/>
      <c r="G143" s="741"/>
      <c r="H143" s="741"/>
      <c r="I143" s="741"/>
      <c r="J143" s="741"/>
      <c r="K143" s="742"/>
    </row>
    <row r="144" spans="4:11" s="739" customFormat="1" x14ac:dyDescent="0.2">
      <c r="D144" s="740"/>
      <c r="F144" s="741"/>
      <c r="G144" s="741"/>
      <c r="H144" s="741"/>
      <c r="I144" s="741"/>
      <c r="J144" s="741"/>
      <c r="K144" s="742"/>
    </row>
    <row r="145" spans="4:11" s="739" customFormat="1" x14ac:dyDescent="0.2">
      <c r="D145" s="740"/>
      <c r="F145" s="741"/>
      <c r="G145" s="741"/>
      <c r="H145" s="741"/>
      <c r="I145" s="741"/>
      <c r="J145" s="741"/>
      <c r="K145" s="742"/>
    </row>
    <row r="146" spans="4:11" s="739" customFormat="1" x14ac:dyDescent="0.2">
      <c r="D146" s="740"/>
      <c r="F146" s="741"/>
      <c r="G146" s="741"/>
      <c r="H146" s="741"/>
      <c r="I146" s="741"/>
      <c r="J146" s="741"/>
      <c r="K146" s="742"/>
    </row>
    <row r="147" spans="4:11" s="739" customFormat="1" x14ac:dyDescent="0.2">
      <c r="D147" s="740"/>
      <c r="F147" s="741"/>
      <c r="G147" s="741"/>
      <c r="H147" s="741"/>
      <c r="I147" s="741"/>
      <c r="J147" s="741"/>
      <c r="K147" s="742"/>
    </row>
    <row r="148" spans="4:11" s="739" customFormat="1" x14ac:dyDescent="0.2">
      <c r="D148" s="740"/>
      <c r="F148" s="741"/>
      <c r="G148" s="741"/>
      <c r="H148" s="741"/>
      <c r="I148" s="741"/>
      <c r="J148" s="741"/>
      <c r="K148" s="742"/>
    </row>
    <row r="149" spans="4:11" s="739" customFormat="1" x14ac:dyDescent="0.2">
      <c r="D149" s="740"/>
      <c r="F149" s="741"/>
      <c r="G149" s="741"/>
      <c r="H149" s="741"/>
      <c r="I149" s="741"/>
      <c r="J149" s="741"/>
      <c r="K149" s="742"/>
    </row>
    <row r="150" spans="4:11" s="739" customFormat="1" x14ac:dyDescent="0.2">
      <c r="D150" s="740"/>
      <c r="F150" s="741"/>
      <c r="G150" s="741"/>
      <c r="H150" s="741"/>
      <c r="I150" s="741"/>
      <c r="J150" s="741"/>
      <c r="K150" s="742"/>
    </row>
    <row r="151" spans="4:11" s="739" customFormat="1" x14ac:dyDescent="0.2">
      <c r="D151" s="740"/>
      <c r="F151" s="741"/>
      <c r="G151" s="741"/>
      <c r="H151" s="741"/>
      <c r="I151" s="741"/>
      <c r="J151" s="741"/>
      <c r="K151" s="742"/>
    </row>
    <row r="152" spans="4:11" s="739" customFormat="1" x14ac:dyDescent="0.2">
      <c r="D152" s="740"/>
      <c r="F152" s="741"/>
      <c r="G152" s="741"/>
      <c r="H152" s="741"/>
      <c r="I152" s="741"/>
      <c r="J152" s="741"/>
      <c r="K152" s="742"/>
    </row>
    <row r="153" spans="4:11" s="739" customFormat="1" x14ac:dyDescent="0.2">
      <c r="D153" s="740"/>
      <c r="F153" s="741"/>
      <c r="G153" s="741"/>
      <c r="H153" s="741"/>
      <c r="I153" s="741"/>
      <c r="J153" s="741"/>
      <c r="K153" s="742"/>
    </row>
    <row r="154" spans="4:11" s="739" customFormat="1" x14ac:dyDescent="0.2">
      <c r="D154" s="740"/>
      <c r="F154" s="741"/>
      <c r="G154" s="741"/>
      <c r="H154" s="741"/>
      <c r="I154" s="741"/>
      <c r="J154" s="741"/>
      <c r="K154" s="742"/>
    </row>
    <row r="155" spans="4:11" s="739" customFormat="1" x14ac:dyDescent="0.2">
      <c r="D155" s="740"/>
      <c r="F155" s="741"/>
      <c r="G155" s="741"/>
      <c r="H155" s="741"/>
      <c r="I155" s="741"/>
      <c r="J155" s="741"/>
      <c r="K155" s="742"/>
    </row>
    <row r="156" spans="4:11" s="739" customFormat="1" x14ac:dyDescent="0.2">
      <c r="D156" s="740"/>
      <c r="F156" s="741"/>
      <c r="G156" s="741"/>
      <c r="H156" s="741"/>
      <c r="I156" s="741"/>
      <c r="J156" s="741"/>
      <c r="K156" s="742"/>
    </row>
    <row r="157" spans="4:11" s="739" customFormat="1" x14ac:dyDescent="0.2">
      <c r="D157" s="740"/>
      <c r="F157" s="741"/>
      <c r="G157" s="741"/>
      <c r="H157" s="741"/>
      <c r="I157" s="741"/>
      <c r="J157" s="741"/>
      <c r="K157" s="742"/>
    </row>
    <row r="158" spans="4:11" s="739" customFormat="1" x14ac:dyDescent="0.2">
      <c r="D158" s="740"/>
      <c r="F158" s="741"/>
      <c r="G158" s="741"/>
      <c r="H158" s="741"/>
      <c r="I158" s="741"/>
      <c r="J158" s="741"/>
      <c r="K158" s="742"/>
    </row>
    <row r="159" spans="4:11" s="739" customFormat="1" x14ac:dyDescent="0.2">
      <c r="D159" s="740"/>
      <c r="F159" s="741"/>
      <c r="G159" s="741"/>
      <c r="H159" s="741"/>
      <c r="I159" s="741"/>
      <c r="J159" s="741"/>
      <c r="K159" s="742"/>
    </row>
    <row r="160" spans="4:11" s="739" customFormat="1" x14ac:dyDescent="0.2">
      <c r="D160" s="740"/>
      <c r="F160" s="741"/>
      <c r="G160" s="741"/>
      <c r="H160" s="741"/>
      <c r="I160" s="741"/>
      <c r="J160" s="741"/>
      <c r="K160" s="742"/>
    </row>
    <row r="161" spans="4:11" s="739" customFormat="1" x14ac:dyDescent="0.2">
      <c r="D161" s="740"/>
      <c r="F161" s="741"/>
      <c r="G161" s="741"/>
      <c r="H161" s="741"/>
      <c r="I161" s="741"/>
      <c r="J161" s="741"/>
      <c r="K161" s="742"/>
    </row>
    <row r="162" spans="4:11" s="739" customFormat="1" x14ac:dyDescent="0.2">
      <c r="D162" s="740"/>
      <c r="F162" s="741"/>
      <c r="G162" s="741"/>
      <c r="H162" s="741"/>
      <c r="I162" s="741"/>
      <c r="J162" s="741"/>
      <c r="K162" s="742"/>
    </row>
    <row r="163" spans="4:11" s="739" customFormat="1" x14ac:dyDescent="0.2">
      <c r="D163" s="740"/>
      <c r="F163" s="741"/>
      <c r="G163" s="741"/>
      <c r="H163" s="741"/>
      <c r="I163" s="741"/>
      <c r="J163" s="741"/>
      <c r="K163" s="742"/>
    </row>
    <row r="164" spans="4:11" s="739" customFormat="1" x14ac:dyDescent="0.2">
      <c r="D164" s="740"/>
      <c r="F164" s="741"/>
      <c r="G164" s="741"/>
      <c r="H164" s="741"/>
      <c r="I164" s="741"/>
      <c r="J164" s="741"/>
      <c r="K164" s="742"/>
    </row>
    <row r="165" spans="4:11" s="739" customFormat="1" x14ac:dyDescent="0.2">
      <c r="D165" s="740"/>
      <c r="F165" s="741"/>
      <c r="G165" s="741"/>
      <c r="H165" s="741"/>
      <c r="I165" s="741"/>
      <c r="J165" s="741"/>
      <c r="K165" s="742"/>
    </row>
    <row r="166" spans="4:11" s="739" customFormat="1" x14ac:dyDescent="0.2">
      <c r="D166" s="740"/>
      <c r="F166" s="741"/>
      <c r="G166" s="741"/>
      <c r="H166" s="741"/>
      <c r="I166" s="741"/>
      <c r="J166" s="741"/>
      <c r="K166" s="742"/>
    </row>
    <row r="167" spans="4:11" s="739" customFormat="1" x14ac:dyDescent="0.2">
      <c r="D167" s="740"/>
      <c r="F167" s="741"/>
      <c r="G167" s="741"/>
      <c r="H167" s="741"/>
      <c r="I167" s="741"/>
      <c r="J167" s="741"/>
      <c r="K167" s="742"/>
    </row>
    <row r="168" spans="4:11" s="739" customFormat="1" x14ac:dyDescent="0.2">
      <c r="D168" s="740"/>
      <c r="F168" s="741"/>
      <c r="G168" s="741"/>
      <c r="H168" s="741"/>
      <c r="I168" s="741"/>
      <c r="J168" s="741"/>
      <c r="K168" s="742"/>
    </row>
    <row r="169" spans="4:11" s="739" customFormat="1" x14ac:dyDescent="0.2">
      <c r="D169" s="740"/>
      <c r="F169" s="741"/>
      <c r="G169" s="741"/>
      <c r="H169" s="741"/>
      <c r="I169" s="741"/>
      <c r="J169" s="741"/>
      <c r="K169" s="742"/>
    </row>
    <row r="170" spans="4:11" s="739" customFormat="1" x14ac:dyDescent="0.2">
      <c r="D170" s="740"/>
      <c r="F170" s="741"/>
      <c r="G170" s="741"/>
      <c r="H170" s="741"/>
      <c r="I170" s="741"/>
      <c r="J170" s="741"/>
      <c r="K170" s="742"/>
    </row>
    <row r="171" spans="4:11" s="739" customFormat="1" x14ac:dyDescent="0.2">
      <c r="D171" s="740"/>
      <c r="F171" s="741"/>
      <c r="G171" s="741"/>
      <c r="H171" s="741"/>
      <c r="I171" s="741"/>
      <c r="J171" s="741"/>
      <c r="K171" s="742"/>
    </row>
    <row r="172" spans="4:11" s="739" customFormat="1" x14ac:dyDescent="0.2">
      <c r="D172" s="740"/>
      <c r="F172" s="741"/>
      <c r="G172" s="741"/>
      <c r="H172" s="741"/>
      <c r="I172" s="741"/>
      <c r="J172" s="741"/>
      <c r="K172" s="742"/>
    </row>
    <row r="173" spans="4:11" s="739" customFormat="1" x14ac:dyDescent="0.2">
      <c r="D173" s="740"/>
      <c r="F173" s="741"/>
      <c r="G173" s="741"/>
      <c r="H173" s="741"/>
      <c r="I173" s="741"/>
      <c r="J173" s="741"/>
      <c r="K173" s="742"/>
    </row>
    <row r="174" spans="4:11" s="739" customFormat="1" x14ac:dyDescent="0.2">
      <c r="D174" s="740"/>
      <c r="F174" s="741"/>
      <c r="G174" s="741"/>
      <c r="H174" s="741"/>
      <c r="I174" s="741"/>
      <c r="J174" s="741"/>
      <c r="K174" s="742"/>
    </row>
    <row r="175" spans="4:11" s="739" customFormat="1" x14ac:dyDescent="0.2">
      <c r="D175" s="740"/>
      <c r="F175" s="741"/>
      <c r="G175" s="741"/>
      <c r="H175" s="741"/>
      <c r="I175" s="741"/>
      <c r="J175" s="741"/>
      <c r="K175" s="742"/>
    </row>
    <row r="176" spans="4:11" s="739" customFormat="1" x14ac:dyDescent="0.2">
      <c r="D176" s="740"/>
      <c r="F176" s="741"/>
      <c r="G176" s="741"/>
      <c r="H176" s="741"/>
      <c r="I176" s="741"/>
      <c r="J176" s="741"/>
      <c r="K176" s="742"/>
    </row>
    <row r="177" spans="4:11" s="739" customFormat="1" x14ac:dyDescent="0.2">
      <c r="D177" s="740"/>
      <c r="F177" s="741"/>
      <c r="G177" s="741"/>
      <c r="H177" s="741"/>
      <c r="I177" s="741"/>
      <c r="J177" s="741"/>
      <c r="K177" s="742"/>
    </row>
    <row r="178" spans="4:11" s="739" customFormat="1" x14ac:dyDescent="0.2">
      <c r="D178" s="740"/>
      <c r="F178" s="741"/>
      <c r="G178" s="741"/>
      <c r="H178" s="741"/>
      <c r="I178" s="741"/>
      <c r="J178" s="741"/>
      <c r="K178" s="742"/>
    </row>
    <row r="179" spans="4:11" s="739" customFormat="1" x14ac:dyDescent="0.2">
      <c r="D179" s="740"/>
      <c r="F179" s="741"/>
      <c r="G179" s="741"/>
      <c r="H179" s="741"/>
      <c r="I179" s="741"/>
      <c r="J179" s="741"/>
      <c r="K179" s="742"/>
    </row>
    <row r="180" spans="4:11" s="739" customFormat="1" x14ac:dyDescent="0.2">
      <c r="D180" s="740"/>
      <c r="F180" s="741"/>
      <c r="G180" s="741"/>
      <c r="H180" s="741"/>
      <c r="I180" s="741"/>
      <c r="J180" s="741"/>
      <c r="K180" s="742"/>
    </row>
    <row r="181" spans="4:11" s="739" customFormat="1" x14ac:dyDescent="0.2">
      <c r="D181" s="740"/>
      <c r="F181" s="741"/>
      <c r="G181" s="741"/>
      <c r="H181" s="741"/>
      <c r="I181" s="741"/>
      <c r="J181" s="741"/>
      <c r="K181" s="742"/>
    </row>
    <row r="182" spans="4:11" s="739" customFormat="1" x14ac:dyDescent="0.2">
      <c r="D182" s="740"/>
      <c r="F182" s="741"/>
      <c r="G182" s="741"/>
      <c r="H182" s="741"/>
      <c r="I182" s="741"/>
      <c r="J182" s="741"/>
      <c r="K182" s="742"/>
    </row>
    <row r="183" spans="4:11" s="739" customFormat="1" x14ac:dyDescent="0.2">
      <c r="D183" s="740"/>
      <c r="F183" s="741"/>
      <c r="G183" s="741"/>
      <c r="H183" s="741"/>
      <c r="I183" s="741"/>
      <c r="J183" s="741"/>
      <c r="K183" s="742"/>
    </row>
    <row r="184" spans="4:11" s="739" customFormat="1" x14ac:dyDescent="0.2">
      <c r="D184" s="740"/>
      <c r="F184" s="741"/>
      <c r="G184" s="741"/>
      <c r="H184" s="741"/>
      <c r="I184" s="741"/>
      <c r="J184" s="741"/>
      <c r="K184" s="742"/>
    </row>
    <row r="185" spans="4:11" s="739" customFormat="1" x14ac:dyDescent="0.2">
      <c r="D185" s="740"/>
      <c r="F185" s="741"/>
      <c r="G185" s="741"/>
      <c r="H185" s="741"/>
      <c r="I185" s="741"/>
      <c r="J185" s="741"/>
      <c r="K185" s="742"/>
    </row>
    <row r="186" spans="4:11" s="739" customFormat="1" x14ac:dyDescent="0.2">
      <c r="D186" s="740"/>
      <c r="F186" s="741"/>
      <c r="G186" s="741"/>
      <c r="H186" s="741"/>
      <c r="I186" s="741"/>
      <c r="J186" s="741"/>
      <c r="K186" s="742"/>
    </row>
    <row r="187" spans="4:11" s="739" customFormat="1" x14ac:dyDescent="0.2">
      <c r="D187" s="740"/>
      <c r="F187" s="741"/>
      <c r="G187" s="741"/>
      <c r="H187" s="741"/>
      <c r="I187" s="741"/>
      <c r="J187" s="741"/>
      <c r="K187" s="742"/>
    </row>
    <row r="188" spans="4:11" s="739" customFormat="1" x14ac:dyDescent="0.2">
      <c r="D188" s="740"/>
      <c r="F188" s="741"/>
      <c r="G188" s="741"/>
      <c r="H188" s="741"/>
      <c r="I188" s="741"/>
      <c r="J188" s="741"/>
      <c r="K188" s="742"/>
    </row>
    <row r="189" spans="4:11" s="739" customFormat="1" x14ac:dyDescent="0.2">
      <c r="D189" s="740"/>
      <c r="F189" s="741"/>
      <c r="G189" s="741"/>
      <c r="H189" s="741"/>
      <c r="I189" s="741"/>
      <c r="J189" s="741"/>
      <c r="K189" s="742"/>
    </row>
    <row r="190" spans="4:11" s="739" customFormat="1" x14ac:dyDescent="0.2">
      <c r="D190" s="740"/>
      <c r="F190" s="741"/>
      <c r="G190" s="741"/>
      <c r="H190" s="741"/>
      <c r="I190" s="741"/>
      <c r="J190" s="741"/>
      <c r="K190" s="742"/>
    </row>
    <row r="191" spans="4:11" s="739" customFormat="1" x14ac:dyDescent="0.2">
      <c r="D191" s="740"/>
      <c r="F191" s="741"/>
      <c r="G191" s="741"/>
      <c r="H191" s="741"/>
      <c r="I191" s="741"/>
      <c r="J191" s="741"/>
      <c r="K191" s="742"/>
    </row>
    <row r="192" spans="4:11" s="739" customFormat="1" x14ac:dyDescent="0.2">
      <c r="D192" s="740"/>
      <c r="F192" s="741"/>
      <c r="G192" s="741"/>
      <c r="H192" s="741"/>
      <c r="I192" s="741"/>
      <c r="J192" s="741"/>
      <c r="K192" s="742"/>
    </row>
    <row r="193" spans="4:11" s="739" customFormat="1" x14ac:dyDescent="0.2">
      <c r="D193" s="740"/>
      <c r="F193" s="741"/>
      <c r="G193" s="741"/>
      <c r="H193" s="741"/>
      <c r="I193" s="741"/>
      <c r="J193" s="741"/>
      <c r="K193" s="742"/>
    </row>
    <row r="194" spans="4:11" s="739" customFormat="1" x14ac:dyDescent="0.2">
      <c r="D194" s="740"/>
      <c r="F194" s="741"/>
      <c r="G194" s="741"/>
      <c r="H194" s="741"/>
      <c r="I194" s="741"/>
      <c r="J194" s="741"/>
      <c r="K194" s="742"/>
    </row>
    <row r="195" spans="4:11" s="739" customFormat="1" x14ac:dyDescent="0.2">
      <c r="D195" s="740"/>
      <c r="F195" s="741"/>
      <c r="G195" s="741"/>
      <c r="H195" s="741"/>
      <c r="I195" s="741"/>
      <c r="J195" s="741"/>
      <c r="K195" s="742"/>
    </row>
    <row r="196" spans="4:11" s="739" customFormat="1" x14ac:dyDescent="0.2">
      <c r="D196" s="740"/>
      <c r="F196" s="741"/>
      <c r="G196" s="741"/>
      <c r="H196" s="741"/>
      <c r="I196" s="741"/>
      <c r="J196" s="741"/>
      <c r="K196" s="742"/>
    </row>
    <row r="197" spans="4:11" s="739" customFormat="1" x14ac:dyDescent="0.2">
      <c r="D197" s="740"/>
      <c r="F197" s="741"/>
      <c r="G197" s="741"/>
      <c r="H197" s="741"/>
      <c r="I197" s="741"/>
      <c r="J197" s="741"/>
      <c r="K197" s="742"/>
    </row>
    <row r="198" spans="4:11" s="739" customFormat="1" x14ac:dyDescent="0.2">
      <c r="D198" s="740"/>
      <c r="F198" s="741"/>
      <c r="G198" s="741"/>
      <c r="H198" s="741"/>
      <c r="I198" s="741"/>
      <c r="J198" s="741"/>
      <c r="K198" s="742"/>
    </row>
    <row r="199" spans="4:11" s="739" customFormat="1" x14ac:dyDescent="0.2">
      <c r="D199" s="740"/>
      <c r="F199" s="741"/>
      <c r="G199" s="741"/>
      <c r="H199" s="741"/>
      <c r="I199" s="741"/>
      <c r="J199" s="741"/>
      <c r="K199" s="742"/>
    </row>
    <row r="200" spans="4:11" s="739" customFormat="1" x14ac:dyDescent="0.2">
      <c r="D200" s="740"/>
      <c r="F200" s="741"/>
      <c r="G200" s="741"/>
      <c r="H200" s="741"/>
      <c r="I200" s="741"/>
      <c r="J200" s="741"/>
      <c r="K200" s="742"/>
    </row>
    <row r="201" spans="4:11" s="739" customFormat="1" x14ac:dyDescent="0.2">
      <c r="D201" s="740"/>
      <c r="F201" s="741"/>
      <c r="G201" s="741"/>
      <c r="H201" s="741"/>
      <c r="I201" s="741"/>
      <c r="J201" s="741"/>
      <c r="K201" s="742"/>
    </row>
    <row r="202" spans="4:11" s="739" customFormat="1" x14ac:dyDescent="0.2">
      <c r="D202" s="740"/>
      <c r="F202" s="741"/>
      <c r="G202" s="741"/>
      <c r="H202" s="741"/>
      <c r="I202" s="741"/>
      <c r="J202" s="741"/>
      <c r="K202" s="742"/>
    </row>
    <row r="203" spans="4:11" s="739" customFormat="1" x14ac:dyDescent="0.2">
      <c r="D203" s="740"/>
      <c r="F203" s="741"/>
      <c r="G203" s="741"/>
      <c r="H203" s="741"/>
      <c r="I203" s="741"/>
      <c r="J203" s="741"/>
      <c r="K203" s="742"/>
    </row>
    <row r="204" spans="4:11" s="739" customFormat="1" x14ac:dyDescent="0.2">
      <c r="D204" s="740"/>
      <c r="F204" s="741"/>
      <c r="G204" s="741"/>
      <c r="H204" s="741"/>
      <c r="I204" s="741"/>
      <c r="J204" s="741"/>
      <c r="K204" s="742"/>
    </row>
    <row r="205" spans="4:11" s="739" customFormat="1" x14ac:dyDescent="0.2">
      <c r="D205" s="740"/>
      <c r="F205" s="741"/>
      <c r="G205" s="741"/>
      <c r="H205" s="741"/>
      <c r="I205" s="741"/>
      <c r="J205" s="741"/>
      <c r="K205" s="742"/>
    </row>
    <row r="206" spans="4:11" s="739" customFormat="1" x14ac:dyDescent="0.2">
      <c r="D206" s="740"/>
      <c r="F206" s="741"/>
      <c r="G206" s="741"/>
      <c r="H206" s="741"/>
      <c r="I206" s="741"/>
      <c r="J206" s="741"/>
      <c r="K206" s="742"/>
    </row>
    <row r="207" spans="4:11" s="739" customFormat="1" x14ac:dyDescent="0.2">
      <c r="D207" s="740"/>
      <c r="F207" s="741"/>
      <c r="G207" s="741"/>
      <c r="H207" s="741"/>
      <c r="I207" s="741"/>
      <c r="J207" s="741"/>
      <c r="K207" s="742"/>
    </row>
    <row r="208" spans="4:11" s="739" customFormat="1" x14ac:dyDescent="0.2">
      <c r="D208" s="740"/>
      <c r="F208" s="741"/>
      <c r="G208" s="741"/>
      <c r="H208" s="741"/>
      <c r="I208" s="741"/>
      <c r="J208" s="741"/>
      <c r="K208" s="742"/>
    </row>
    <row r="209" spans="4:11" s="739" customFormat="1" x14ac:dyDescent="0.2">
      <c r="D209" s="740"/>
      <c r="F209" s="741"/>
      <c r="G209" s="741"/>
      <c r="H209" s="741"/>
      <c r="I209" s="741"/>
      <c r="J209" s="741"/>
      <c r="K209" s="742"/>
    </row>
    <row r="210" spans="4:11" s="739" customFormat="1" x14ac:dyDescent="0.2">
      <c r="D210" s="740"/>
      <c r="F210" s="741"/>
      <c r="G210" s="741"/>
      <c r="H210" s="741"/>
      <c r="I210" s="741"/>
      <c r="J210" s="741"/>
      <c r="K210" s="742"/>
    </row>
    <row r="211" spans="4:11" s="739" customFormat="1" x14ac:dyDescent="0.2">
      <c r="D211" s="740"/>
      <c r="F211" s="741"/>
      <c r="G211" s="741"/>
      <c r="H211" s="741"/>
      <c r="I211" s="741"/>
      <c r="J211" s="741"/>
      <c r="K211" s="742"/>
    </row>
    <row r="212" spans="4:11" s="739" customFormat="1" x14ac:dyDescent="0.2">
      <c r="D212" s="740"/>
      <c r="F212" s="741"/>
      <c r="G212" s="741"/>
      <c r="H212" s="741"/>
      <c r="I212" s="741"/>
      <c r="J212" s="741"/>
      <c r="K212" s="742"/>
    </row>
    <row r="213" spans="4:11" s="739" customFormat="1" x14ac:dyDescent="0.2">
      <c r="D213" s="740"/>
      <c r="F213" s="741"/>
      <c r="G213" s="741"/>
      <c r="H213" s="741"/>
      <c r="I213" s="741"/>
      <c r="J213" s="741"/>
      <c r="K213" s="742"/>
    </row>
    <row r="214" spans="4:11" s="739" customFormat="1" x14ac:dyDescent="0.2">
      <c r="D214" s="740"/>
      <c r="F214" s="741"/>
      <c r="G214" s="741"/>
      <c r="H214" s="741"/>
      <c r="I214" s="741"/>
      <c r="J214" s="741"/>
      <c r="K214" s="742"/>
    </row>
    <row r="215" spans="4:11" s="739" customFormat="1" x14ac:dyDescent="0.2">
      <c r="D215" s="740"/>
      <c r="F215" s="741"/>
      <c r="G215" s="741"/>
      <c r="H215" s="741"/>
      <c r="I215" s="741"/>
      <c r="J215" s="741"/>
      <c r="K215" s="742"/>
    </row>
    <row r="216" spans="4:11" s="739" customFormat="1" x14ac:dyDescent="0.2">
      <c r="D216" s="740"/>
      <c r="F216" s="741"/>
      <c r="G216" s="741"/>
      <c r="H216" s="741"/>
      <c r="I216" s="741"/>
      <c r="J216" s="741"/>
      <c r="K216" s="742"/>
    </row>
    <row r="217" spans="4:11" s="739" customFormat="1" x14ac:dyDescent="0.2">
      <c r="D217" s="740"/>
      <c r="F217" s="741"/>
      <c r="G217" s="741"/>
      <c r="H217" s="741"/>
      <c r="I217" s="741"/>
      <c r="J217" s="741"/>
      <c r="K217" s="742"/>
    </row>
    <row r="218" spans="4:11" s="739" customFormat="1" x14ac:dyDescent="0.2">
      <c r="D218" s="740"/>
      <c r="F218" s="741"/>
      <c r="G218" s="741"/>
      <c r="H218" s="741"/>
      <c r="I218" s="741"/>
      <c r="J218" s="741"/>
      <c r="K218" s="742"/>
    </row>
    <row r="219" spans="4:11" s="739" customFormat="1" x14ac:dyDescent="0.2">
      <c r="D219" s="740"/>
      <c r="F219" s="741"/>
      <c r="G219" s="741"/>
      <c r="H219" s="741"/>
      <c r="I219" s="741"/>
      <c r="J219" s="741"/>
      <c r="K219" s="742"/>
    </row>
    <row r="220" spans="4:11" s="739" customFormat="1" x14ac:dyDescent="0.2">
      <c r="D220" s="740"/>
      <c r="F220" s="741"/>
      <c r="G220" s="741"/>
      <c r="H220" s="741"/>
      <c r="I220" s="741"/>
      <c r="J220" s="741"/>
      <c r="K220" s="742"/>
    </row>
    <row r="221" spans="4:11" s="739" customFormat="1" x14ac:dyDescent="0.2">
      <c r="D221" s="740"/>
      <c r="F221" s="741"/>
      <c r="G221" s="741"/>
      <c r="H221" s="741"/>
      <c r="I221" s="741"/>
      <c r="J221" s="741"/>
      <c r="K221" s="742"/>
    </row>
    <row r="222" spans="4:11" s="739" customFormat="1" x14ac:dyDescent="0.2">
      <c r="D222" s="740"/>
      <c r="F222" s="741"/>
      <c r="G222" s="741"/>
      <c r="H222" s="741"/>
      <c r="I222" s="741"/>
      <c r="J222" s="741"/>
      <c r="K222" s="742"/>
    </row>
    <row r="223" spans="4:11" s="739" customFormat="1" x14ac:dyDescent="0.2">
      <c r="D223" s="740"/>
      <c r="F223" s="741"/>
      <c r="G223" s="741"/>
      <c r="H223" s="741"/>
      <c r="I223" s="741"/>
      <c r="J223" s="741"/>
      <c r="K223" s="742"/>
    </row>
    <row r="224" spans="4:11" s="739" customFormat="1" x14ac:dyDescent="0.2">
      <c r="D224" s="740"/>
      <c r="F224" s="741"/>
      <c r="G224" s="741"/>
      <c r="H224" s="741"/>
      <c r="I224" s="741"/>
      <c r="J224" s="741"/>
      <c r="K224" s="742"/>
    </row>
    <row r="225" spans="4:11" s="739" customFormat="1" x14ac:dyDescent="0.2">
      <c r="D225" s="740"/>
      <c r="F225" s="741"/>
      <c r="G225" s="741"/>
      <c r="H225" s="741"/>
      <c r="I225" s="741"/>
      <c r="J225" s="741"/>
      <c r="K225" s="742"/>
    </row>
    <row r="226" spans="4:11" s="739" customFormat="1" x14ac:dyDescent="0.2">
      <c r="D226" s="740"/>
      <c r="F226" s="741"/>
      <c r="G226" s="741"/>
      <c r="H226" s="741"/>
      <c r="I226" s="741"/>
      <c r="J226" s="741"/>
      <c r="K226" s="742"/>
    </row>
    <row r="227" spans="4:11" s="739" customFormat="1" x14ac:dyDescent="0.2">
      <c r="D227" s="740"/>
      <c r="F227" s="741"/>
      <c r="G227" s="741"/>
      <c r="H227" s="741"/>
      <c r="I227" s="741"/>
      <c r="J227" s="741"/>
      <c r="K227" s="742"/>
    </row>
    <row r="228" spans="4:11" s="739" customFormat="1" x14ac:dyDescent="0.2">
      <c r="D228" s="740"/>
      <c r="F228" s="741"/>
      <c r="G228" s="741"/>
      <c r="H228" s="741"/>
      <c r="I228" s="741"/>
      <c r="J228" s="741"/>
      <c r="K228" s="742"/>
    </row>
    <row r="229" spans="4:11" s="739" customFormat="1" x14ac:dyDescent="0.2">
      <c r="D229" s="740"/>
      <c r="F229" s="741"/>
      <c r="G229" s="741"/>
      <c r="H229" s="741"/>
      <c r="I229" s="741"/>
      <c r="J229" s="741"/>
      <c r="K229" s="742"/>
    </row>
    <row r="230" spans="4:11" s="739" customFormat="1" x14ac:dyDescent="0.2">
      <c r="D230" s="740"/>
      <c r="F230" s="741"/>
      <c r="G230" s="741"/>
      <c r="H230" s="741"/>
      <c r="I230" s="741"/>
      <c r="J230" s="741"/>
      <c r="K230" s="742"/>
    </row>
    <row r="231" spans="4:11" s="739" customFormat="1" x14ac:dyDescent="0.2">
      <c r="D231" s="740"/>
      <c r="F231" s="741"/>
      <c r="G231" s="741"/>
      <c r="H231" s="741"/>
      <c r="I231" s="741"/>
      <c r="J231" s="741"/>
      <c r="K231" s="742"/>
    </row>
    <row r="232" spans="4:11" s="739" customFormat="1" x14ac:dyDescent="0.2">
      <c r="D232" s="740"/>
      <c r="F232" s="741"/>
      <c r="G232" s="741"/>
      <c r="H232" s="741"/>
      <c r="I232" s="741"/>
      <c r="J232" s="741"/>
      <c r="K232" s="742"/>
    </row>
    <row r="233" spans="4:11" s="739" customFormat="1" x14ac:dyDescent="0.2">
      <c r="D233" s="740"/>
      <c r="F233" s="741"/>
      <c r="G233" s="741"/>
      <c r="H233" s="741"/>
      <c r="I233" s="741"/>
      <c r="J233" s="741"/>
      <c r="K233" s="742"/>
    </row>
    <row r="234" spans="4:11" s="739" customFormat="1" x14ac:dyDescent="0.2">
      <c r="D234" s="740"/>
      <c r="F234" s="741"/>
      <c r="G234" s="741"/>
      <c r="H234" s="741"/>
      <c r="I234" s="741"/>
      <c r="J234" s="741"/>
      <c r="K234" s="742"/>
    </row>
    <row r="235" spans="4:11" s="739" customFormat="1" x14ac:dyDescent="0.2">
      <c r="D235" s="740"/>
      <c r="F235" s="741"/>
      <c r="G235" s="741"/>
      <c r="H235" s="741"/>
      <c r="I235" s="741"/>
      <c r="J235" s="741"/>
      <c r="K235" s="742"/>
    </row>
    <row r="236" spans="4:11" s="739" customFormat="1" x14ac:dyDescent="0.2">
      <c r="D236" s="740"/>
      <c r="F236" s="741"/>
      <c r="G236" s="741"/>
      <c r="H236" s="741"/>
      <c r="I236" s="741"/>
      <c r="J236" s="741"/>
      <c r="K236" s="742"/>
    </row>
    <row r="237" spans="4:11" s="739" customFormat="1" x14ac:dyDescent="0.2">
      <c r="D237" s="740"/>
      <c r="F237" s="741"/>
      <c r="G237" s="741"/>
      <c r="H237" s="741"/>
      <c r="I237" s="741"/>
      <c r="J237" s="741"/>
      <c r="K237" s="742"/>
    </row>
    <row r="238" spans="4:11" s="739" customFormat="1" x14ac:dyDescent="0.2">
      <c r="D238" s="740"/>
      <c r="F238" s="741"/>
      <c r="G238" s="741"/>
      <c r="H238" s="741"/>
      <c r="I238" s="741"/>
      <c r="J238" s="741"/>
      <c r="K238" s="742"/>
    </row>
    <row r="239" spans="4:11" s="739" customFormat="1" x14ac:dyDescent="0.2">
      <c r="D239" s="740"/>
      <c r="F239" s="741"/>
      <c r="G239" s="741"/>
      <c r="H239" s="741"/>
      <c r="I239" s="741"/>
      <c r="J239" s="741"/>
      <c r="K239" s="742"/>
    </row>
    <row r="240" spans="4:11" s="739" customFormat="1" x14ac:dyDescent="0.2">
      <c r="D240" s="740"/>
      <c r="F240" s="741"/>
      <c r="G240" s="741"/>
      <c r="H240" s="741"/>
      <c r="I240" s="741"/>
      <c r="J240" s="741"/>
      <c r="K240" s="742"/>
    </row>
    <row r="241" spans="4:11" s="739" customFormat="1" x14ac:dyDescent="0.2">
      <c r="D241" s="740"/>
      <c r="F241" s="741"/>
      <c r="G241" s="741"/>
      <c r="H241" s="741"/>
      <c r="I241" s="741"/>
      <c r="J241" s="741"/>
      <c r="K241" s="742"/>
    </row>
    <row r="242" spans="4:11" s="739" customFormat="1" x14ac:dyDescent="0.2">
      <c r="D242" s="740"/>
      <c r="F242" s="741"/>
      <c r="G242" s="741"/>
      <c r="H242" s="741"/>
      <c r="I242" s="741"/>
      <c r="J242" s="741"/>
      <c r="K242" s="742"/>
    </row>
    <row r="243" spans="4:11" s="739" customFormat="1" x14ac:dyDescent="0.2">
      <c r="D243" s="740"/>
      <c r="F243" s="741"/>
      <c r="G243" s="741"/>
      <c r="H243" s="741"/>
      <c r="I243" s="741"/>
      <c r="J243" s="741"/>
      <c r="K243" s="742"/>
    </row>
    <row r="244" spans="4:11" s="739" customFormat="1" x14ac:dyDescent="0.2">
      <c r="D244" s="740"/>
      <c r="F244" s="741"/>
      <c r="G244" s="741"/>
      <c r="H244" s="741"/>
      <c r="I244" s="741"/>
      <c r="J244" s="741"/>
      <c r="K244" s="742"/>
    </row>
    <row r="245" spans="4:11" s="739" customFormat="1" x14ac:dyDescent="0.2">
      <c r="D245" s="740"/>
      <c r="F245" s="741"/>
      <c r="G245" s="741"/>
      <c r="H245" s="741"/>
      <c r="I245" s="741"/>
      <c r="J245" s="741"/>
      <c r="K245" s="742"/>
    </row>
    <row r="246" spans="4:11" s="739" customFormat="1" x14ac:dyDescent="0.2">
      <c r="D246" s="740"/>
      <c r="F246" s="741"/>
      <c r="G246" s="741"/>
      <c r="H246" s="741"/>
      <c r="I246" s="741"/>
      <c r="J246" s="741"/>
      <c r="K246" s="742"/>
    </row>
    <row r="247" spans="4:11" s="739" customFormat="1" x14ac:dyDescent="0.2">
      <c r="D247" s="740"/>
      <c r="F247" s="741"/>
      <c r="G247" s="741"/>
      <c r="H247" s="741"/>
      <c r="I247" s="741"/>
      <c r="J247" s="741"/>
      <c r="K247" s="742"/>
    </row>
    <row r="248" spans="4:11" s="739" customFormat="1" x14ac:dyDescent="0.2">
      <c r="D248" s="740"/>
      <c r="F248" s="741"/>
      <c r="G248" s="741"/>
      <c r="H248" s="741"/>
      <c r="I248" s="741"/>
      <c r="J248" s="741"/>
      <c r="K248" s="742"/>
    </row>
    <row r="249" spans="4:11" s="739" customFormat="1" x14ac:dyDescent="0.2">
      <c r="D249" s="740"/>
      <c r="F249" s="741"/>
      <c r="G249" s="741"/>
      <c r="H249" s="741"/>
      <c r="I249" s="741"/>
      <c r="J249" s="741"/>
      <c r="K249" s="742"/>
    </row>
    <row r="250" spans="4:11" s="739" customFormat="1" x14ac:dyDescent="0.2">
      <c r="D250" s="740"/>
      <c r="F250" s="741"/>
      <c r="G250" s="741"/>
      <c r="H250" s="741"/>
      <c r="I250" s="741"/>
      <c r="J250" s="741"/>
      <c r="K250" s="742"/>
    </row>
    <row r="251" spans="4:11" s="739" customFormat="1" x14ac:dyDescent="0.2">
      <c r="D251" s="740"/>
      <c r="F251" s="741"/>
      <c r="G251" s="741"/>
      <c r="H251" s="741"/>
      <c r="I251" s="741"/>
      <c r="J251" s="741"/>
      <c r="K251" s="742"/>
    </row>
    <row r="252" spans="4:11" s="739" customFormat="1" x14ac:dyDescent="0.2">
      <c r="D252" s="740"/>
      <c r="F252" s="741"/>
      <c r="G252" s="741"/>
      <c r="H252" s="741"/>
      <c r="I252" s="741"/>
      <c r="J252" s="741"/>
      <c r="K252" s="742"/>
    </row>
    <row r="253" spans="4:11" s="739" customFormat="1" x14ac:dyDescent="0.2">
      <c r="D253" s="740"/>
      <c r="F253" s="741"/>
      <c r="G253" s="741"/>
      <c r="H253" s="741"/>
      <c r="I253" s="741"/>
      <c r="J253" s="741"/>
      <c r="K253" s="742"/>
    </row>
    <row r="254" spans="4:11" s="739" customFormat="1" x14ac:dyDescent="0.2">
      <c r="D254" s="740"/>
      <c r="F254" s="741"/>
      <c r="G254" s="741"/>
      <c r="H254" s="741"/>
      <c r="I254" s="741"/>
      <c r="J254" s="741"/>
      <c r="K254" s="742"/>
    </row>
    <row r="255" spans="4:11" s="739" customFormat="1" x14ac:dyDescent="0.2">
      <c r="D255" s="740"/>
      <c r="F255" s="741"/>
      <c r="G255" s="741"/>
      <c r="H255" s="741"/>
      <c r="I255" s="741"/>
      <c r="J255" s="741"/>
      <c r="K255" s="742"/>
    </row>
    <row r="256" spans="4:11" s="739" customFormat="1" x14ac:dyDescent="0.2">
      <c r="D256" s="740"/>
      <c r="F256" s="741"/>
      <c r="G256" s="741"/>
      <c r="H256" s="741"/>
      <c r="I256" s="741"/>
      <c r="J256" s="741"/>
      <c r="K256" s="742"/>
    </row>
    <row r="257" spans="4:11" s="739" customFormat="1" x14ac:dyDescent="0.2">
      <c r="D257" s="740"/>
      <c r="F257" s="741"/>
      <c r="G257" s="741"/>
      <c r="H257" s="741"/>
      <c r="I257" s="741"/>
      <c r="J257" s="741"/>
      <c r="K257" s="742"/>
    </row>
    <row r="258" spans="4:11" s="739" customFormat="1" x14ac:dyDescent="0.2">
      <c r="D258" s="740"/>
      <c r="F258" s="741"/>
      <c r="G258" s="741"/>
      <c r="H258" s="741"/>
      <c r="I258" s="741"/>
      <c r="J258" s="741"/>
      <c r="K258" s="742"/>
    </row>
    <row r="259" spans="4:11" s="739" customFormat="1" x14ac:dyDescent="0.2">
      <c r="D259" s="740"/>
      <c r="F259" s="741"/>
      <c r="G259" s="741"/>
      <c r="H259" s="741"/>
      <c r="I259" s="741"/>
      <c r="J259" s="741"/>
      <c r="K259" s="742"/>
    </row>
    <row r="260" spans="4:11" s="739" customFormat="1" x14ac:dyDescent="0.2">
      <c r="D260" s="740"/>
      <c r="F260" s="741"/>
      <c r="G260" s="741"/>
      <c r="H260" s="741"/>
      <c r="I260" s="741"/>
      <c r="J260" s="741"/>
      <c r="K260" s="742"/>
    </row>
    <row r="261" spans="4:11" s="739" customFormat="1" x14ac:dyDescent="0.2">
      <c r="D261" s="740"/>
      <c r="F261" s="741"/>
      <c r="G261" s="741"/>
      <c r="H261" s="741"/>
      <c r="I261" s="741"/>
      <c r="J261" s="741"/>
      <c r="K261" s="742"/>
    </row>
    <row r="262" spans="4:11" s="739" customFormat="1" x14ac:dyDescent="0.2">
      <c r="D262" s="740"/>
      <c r="F262" s="741"/>
      <c r="G262" s="741"/>
      <c r="H262" s="741"/>
      <c r="I262" s="741"/>
      <c r="J262" s="741"/>
      <c r="K262" s="742"/>
    </row>
    <row r="263" spans="4:11" s="739" customFormat="1" x14ac:dyDescent="0.2">
      <c r="D263" s="740"/>
      <c r="F263" s="741"/>
      <c r="G263" s="741"/>
      <c r="H263" s="741"/>
      <c r="I263" s="741"/>
      <c r="J263" s="741"/>
      <c r="K263" s="742"/>
    </row>
    <row r="264" spans="4:11" s="739" customFormat="1" x14ac:dyDescent="0.2">
      <c r="D264" s="740"/>
      <c r="F264" s="741"/>
      <c r="G264" s="741"/>
      <c r="H264" s="741"/>
      <c r="I264" s="741"/>
      <c r="J264" s="741"/>
      <c r="K264" s="742"/>
    </row>
    <row r="265" spans="4:11" s="739" customFormat="1" x14ac:dyDescent="0.2">
      <c r="D265" s="740"/>
      <c r="F265" s="741"/>
      <c r="G265" s="741"/>
      <c r="H265" s="741"/>
      <c r="I265" s="741"/>
      <c r="J265" s="741"/>
      <c r="K265" s="742"/>
    </row>
    <row r="266" spans="4:11" s="739" customFormat="1" x14ac:dyDescent="0.2">
      <c r="D266" s="740"/>
      <c r="F266" s="741"/>
      <c r="G266" s="741"/>
      <c r="H266" s="741"/>
      <c r="I266" s="741"/>
      <c r="J266" s="741"/>
      <c r="K266" s="742"/>
    </row>
    <row r="267" spans="4:11" s="739" customFormat="1" x14ac:dyDescent="0.2">
      <c r="D267" s="740"/>
      <c r="F267" s="741"/>
      <c r="G267" s="741"/>
      <c r="H267" s="741"/>
      <c r="I267" s="741"/>
      <c r="J267" s="741"/>
      <c r="K267" s="742"/>
    </row>
    <row r="268" spans="4:11" s="739" customFormat="1" x14ac:dyDescent="0.2">
      <c r="D268" s="740"/>
      <c r="F268" s="741"/>
      <c r="G268" s="741"/>
      <c r="H268" s="741"/>
      <c r="I268" s="741"/>
      <c r="J268" s="741"/>
      <c r="K268" s="742"/>
    </row>
    <row r="269" spans="4:11" s="739" customFormat="1" x14ac:dyDescent="0.2">
      <c r="D269" s="740"/>
      <c r="F269" s="741"/>
      <c r="G269" s="741"/>
      <c r="H269" s="741"/>
      <c r="I269" s="741"/>
      <c r="J269" s="741"/>
      <c r="K269" s="742"/>
    </row>
    <row r="270" spans="4:11" s="739" customFormat="1" x14ac:dyDescent="0.2">
      <c r="D270" s="740"/>
      <c r="F270" s="741"/>
      <c r="G270" s="741"/>
      <c r="H270" s="741"/>
      <c r="I270" s="741"/>
      <c r="J270" s="741"/>
      <c r="K270" s="742"/>
    </row>
    <row r="271" spans="4:11" s="739" customFormat="1" x14ac:dyDescent="0.2">
      <c r="D271" s="740"/>
      <c r="F271" s="741"/>
      <c r="G271" s="741"/>
      <c r="H271" s="741"/>
      <c r="I271" s="741"/>
      <c r="J271" s="741"/>
      <c r="K271" s="742"/>
    </row>
    <row r="272" spans="4:11" s="739" customFormat="1" x14ac:dyDescent="0.2">
      <c r="D272" s="740"/>
      <c r="F272" s="741"/>
      <c r="G272" s="741"/>
      <c r="H272" s="741"/>
      <c r="I272" s="741"/>
      <c r="J272" s="741"/>
      <c r="K272" s="742"/>
    </row>
    <row r="273" spans="4:11" s="739" customFormat="1" x14ac:dyDescent="0.2">
      <c r="D273" s="740"/>
      <c r="F273" s="741"/>
      <c r="G273" s="741"/>
      <c r="H273" s="741"/>
      <c r="I273" s="741"/>
      <c r="J273" s="741"/>
      <c r="K273" s="742"/>
    </row>
    <row r="274" spans="4:11" s="739" customFormat="1" x14ac:dyDescent="0.2">
      <c r="D274" s="740"/>
      <c r="F274" s="741"/>
      <c r="G274" s="741"/>
      <c r="H274" s="741"/>
      <c r="I274" s="741"/>
      <c r="J274" s="741"/>
      <c r="K274" s="742"/>
    </row>
    <row r="275" spans="4:11" s="739" customFormat="1" x14ac:dyDescent="0.2">
      <c r="D275" s="740"/>
      <c r="F275" s="741"/>
      <c r="G275" s="741"/>
      <c r="H275" s="741"/>
      <c r="I275" s="741"/>
      <c r="J275" s="741"/>
      <c r="K275" s="742"/>
    </row>
    <row r="276" spans="4:11" s="739" customFormat="1" x14ac:dyDescent="0.2">
      <c r="D276" s="740"/>
      <c r="F276" s="741"/>
      <c r="G276" s="741"/>
      <c r="H276" s="741"/>
      <c r="I276" s="741"/>
      <c r="J276" s="741"/>
      <c r="K276" s="742"/>
    </row>
    <row r="277" spans="4:11" s="739" customFormat="1" x14ac:dyDescent="0.2">
      <c r="D277" s="740"/>
      <c r="F277" s="741"/>
      <c r="G277" s="741"/>
      <c r="H277" s="741"/>
      <c r="I277" s="741"/>
      <c r="J277" s="741"/>
      <c r="K277" s="742"/>
    </row>
    <row r="278" spans="4:11" s="739" customFormat="1" x14ac:dyDescent="0.2">
      <c r="D278" s="740"/>
      <c r="F278" s="741"/>
      <c r="G278" s="741"/>
      <c r="H278" s="741"/>
      <c r="I278" s="741"/>
      <c r="J278" s="741"/>
      <c r="K278" s="742"/>
    </row>
    <row r="279" spans="4:11" s="739" customFormat="1" x14ac:dyDescent="0.2">
      <c r="D279" s="740"/>
      <c r="F279" s="741"/>
      <c r="G279" s="741"/>
      <c r="H279" s="741"/>
      <c r="I279" s="741"/>
      <c r="J279" s="741"/>
      <c r="K279" s="742"/>
    </row>
    <row r="280" spans="4:11" s="739" customFormat="1" x14ac:dyDescent="0.2">
      <c r="D280" s="740"/>
      <c r="F280" s="741"/>
      <c r="G280" s="741"/>
      <c r="H280" s="741"/>
      <c r="I280" s="741"/>
      <c r="J280" s="741"/>
      <c r="K280" s="742"/>
    </row>
    <row r="281" spans="4:11" s="739" customFormat="1" x14ac:dyDescent="0.2">
      <c r="D281" s="740"/>
      <c r="F281" s="741"/>
      <c r="G281" s="741"/>
      <c r="H281" s="741"/>
      <c r="I281" s="741"/>
      <c r="J281" s="741"/>
      <c r="K281" s="742"/>
    </row>
    <row r="282" spans="4:11" s="739" customFormat="1" x14ac:dyDescent="0.2">
      <c r="D282" s="740"/>
      <c r="F282" s="741"/>
      <c r="G282" s="741"/>
      <c r="H282" s="741"/>
      <c r="I282" s="741"/>
      <c r="J282" s="741"/>
      <c r="K282" s="742"/>
    </row>
    <row r="283" spans="4:11" s="739" customFormat="1" x14ac:dyDescent="0.2">
      <c r="D283" s="740"/>
      <c r="F283" s="741"/>
      <c r="G283" s="741"/>
      <c r="H283" s="741"/>
      <c r="I283" s="741"/>
      <c r="J283" s="741"/>
      <c r="K283" s="742"/>
    </row>
    <row r="284" spans="4:11" s="739" customFormat="1" x14ac:dyDescent="0.2">
      <c r="D284" s="740"/>
      <c r="F284" s="741"/>
      <c r="G284" s="741"/>
      <c r="H284" s="741"/>
      <c r="I284" s="741"/>
      <c r="J284" s="741"/>
      <c r="K284" s="742"/>
    </row>
    <row r="285" spans="4:11" s="739" customFormat="1" x14ac:dyDescent="0.2">
      <c r="D285" s="740"/>
      <c r="F285" s="741"/>
      <c r="G285" s="741"/>
      <c r="H285" s="741"/>
      <c r="I285" s="741"/>
      <c r="J285" s="741"/>
      <c r="K285" s="742"/>
    </row>
    <row r="286" spans="4:11" s="739" customFormat="1" x14ac:dyDescent="0.2">
      <c r="D286" s="740"/>
      <c r="F286" s="741"/>
      <c r="G286" s="741"/>
      <c r="H286" s="741"/>
      <c r="I286" s="741"/>
      <c r="J286" s="741"/>
      <c r="K286" s="742"/>
    </row>
    <row r="287" spans="4:11" s="739" customFormat="1" x14ac:dyDescent="0.2">
      <c r="D287" s="740"/>
      <c r="F287" s="741"/>
      <c r="G287" s="741"/>
      <c r="H287" s="741"/>
      <c r="I287" s="741"/>
      <c r="J287" s="741"/>
      <c r="K287" s="742"/>
    </row>
    <row r="288" spans="4:11" s="739" customFormat="1" x14ac:dyDescent="0.2">
      <c r="D288" s="740"/>
      <c r="F288" s="741"/>
      <c r="G288" s="741"/>
      <c r="H288" s="741"/>
      <c r="I288" s="741"/>
      <c r="J288" s="741"/>
      <c r="K288" s="742"/>
    </row>
    <row r="289" spans="4:11" s="739" customFormat="1" x14ac:dyDescent="0.2">
      <c r="D289" s="740"/>
      <c r="F289" s="741"/>
      <c r="G289" s="741"/>
      <c r="H289" s="741"/>
      <c r="I289" s="741"/>
      <c r="J289" s="741"/>
      <c r="K289" s="742"/>
    </row>
    <row r="290" spans="4:11" s="739" customFormat="1" x14ac:dyDescent="0.2">
      <c r="D290" s="740"/>
      <c r="F290" s="741"/>
      <c r="G290" s="741"/>
      <c r="H290" s="741"/>
      <c r="I290" s="741"/>
      <c r="J290" s="741"/>
      <c r="K290" s="742"/>
    </row>
    <row r="291" spans="4:11" s="739" customFormat="1" x14ac:dyDescent="0.2">
      <c r="D291" s="740"/>
      <c r="F291" s="741"/>
      <c r="G291" s="741"/>
      <c r="H291" s="741"/>
      <c r="I291" s="741"/>
      <c r="J291" s="741"/>
      <c r="K291" s="742"/>
    </row>
    <row r="292" spans="4:11" s="739" customFormat="1" x14ac:dyDescent="0.2">
      <c r="D292" s="740"/>
      <c r="F292" s="741"/>
      <c r="G292" s="741"/>
      <c r="H292" s="741"/>
      <c r="I292" s="741"/>
      <c r="J292" s="741"/>
      <c r="K292" s="742"/>
    </row>
    <row r="293" spans="4:11" s="739" customFormat="1" x14ac:dyDescent="0.2">
      <c r="D293" s="740"/>
      <c r="F293" s="741"/>
      <c r="G293" s="741"/>
      <c r="H293" s="741"/>
      <c r="I293" s="741"/>
      <c r="J293" s="741"/>
      <c r="K293" s="742"/>
    </row>
    <row r="294" spans="4:11" s="739" customFormat="1" x14ac:dyDescent="0.2">
      <c r="D294" s="740"/>
      <c r="F294" s="741"/>
      <c r="G294" s="741"/>
      <c r="H294" s="741"/>
      <c r="I294" s="741"/>
      <c r="J294" s="741"/>
      <c r="K294" s="742"/>
    </row>
    <row r="295" spans="4:11" s="739" customFormat="1" x14ac:dyDescent="0.2">
      <c r="D295" s="740"/>
      <c r="F295" s="741"/>
      <c r="G295" s="741"/>
      <c r="H295" s="741"/>
      <c r="I295" s="741"/>
      <c r="J295" s="741"/>
      <c r="K295" s="742"/>
    </row>
    <row r="296" spans="4:11" s="739" customFormat="1" x14ac:dyDescent="0.2">
      <c r="D296" s="740"/>
      <c r="F296" s="741"/>
      <c r="G296" s="741"/>
      <c r="H296" s="741"/>
      <c r="I296" s="741"/>
      <c r="J296" s="741"/>
      <c r="K296" s="742"/>
    </row>
    <row r="297" spans="4:11" s="739" customFormat="1" x14ac:dyDescent="0.2">
      <c r="D297" s="740"/>
      <c r="F297" s="741"/>
      <c r="G297" s="741"/>
      <c r="H297" s="741"/>
      <c r="I297" s="741"/>
      <c r="J297" s="741"/>
      <c r="K297" s="742"/>
    </row>
    <row r="298" spans="4:11" s="739" customFormat="1" x14ac:dyDescent="0.2">
      <c r="D298" s="740"/>
      <c r="F298" s="741"/>
      <c r="G298" s="741"/>
      <c r="H298" s="741"/>
      <c r="I298" s="741"/>
      <c r="J298" s="741"/>
      <c r="K298" s="742"/>
    </row>
    <row r="299" spans="4:11" s="739" customFormat="1" x14ac:dyDescent="0.2">
      <c r="D299" s="740"/>
      <c r="F299" s="741"/>
      <c r="G299" s="741"/>
      <c r="H299" s="741"/>
      <c r="I299" s="741"/>
      <c r="J299" s="741"/>
      <c r="K299" s="742"/>
    </row>
    <row r="300" spans="4:11" s="739" customFormat="1" x14ac:dyDescent="0.2">
      <c r="D300" s="740"/>
      <c r="F300" s="741"/>
      <c r="G300" s="741"/>
      <c r="H300" s="741"/>
      <c r="I300" s="741"/>
      <c r="J300" s="741"/>
      <c r="K300" s="742"/>
    </row>
    <row r="301" spans="4:11" s="739" customFormat="1" x14ac:dyDescent="0.2">
      <c r="D301" s="740"/>
      <c r="F301" s="741"/>
      <c r="G301" s="741"/>
      <c r="H301" s="741"/>
      <c r="I301" s="741"/>
      <c r="J301" s="741"/>
      <c r="K301" s="742"/>
    </row>
    <row r="302" spans="4:11" s="739" customFormat="1" x14ac:dyDescent="0.2">
      <c r="D302" s="740"/>
      <c r="F302" s="741"/>
      <c r="G302" s="741"/>
      <c r="H302" s="741"/>
      <c r="I302" s="741"/>
      <c r="J302" s="741"/>
      <c r="K302" s="742"/>
    </row>
    <row r="303" spans="4:11" s="739" customFormat="1" x14ac:dyDescent="0.2">
      <c r="D303" s="740"/>
      <c r="F303" s="741"/>
      <c r="G303" s="741"/>
      <c r="H303" s="741"/>
      <c r="I303" s="741"/>
      <c r="J303" s="741"/>
      <c r="K303" s="742"/>
    </row>
    <row r="304" spans="4:11" s="739" customFormat="1" x14ac:dyDescent="0.2">
      <c r="D304" s="740"/>
      <c r="F304" s="741"/>
      <c r="G304" s="741"/>
      <c r="H304" s="741"/>
      <c r="I304" s="741"/>
      <c r="J304" s="741"/>
      <c r="K304" s="742"/>
    </row>
    <row r="305" spans="4:11" s="739" customFormat="1" x14ac:dyDescent="0.2">
      <c r="D305" s="740"/>
      <c r="F305" s="741"/>
      <c r="G305" s="741"/>
      <c r="H305" s="741"/>
      <c r="I305" s="741"/>
      <c r="J305" s="741"/>
      <c r="K305" s="742"/>
    </row>
    <row r="306" spans="4:11" s="739" customFormat="1" x14ac:dyDescent="0.2">
      <c r="D306" s="740"/>
      <c r="F306" s="741"/>
      <c r="G306" s="741"/>
      <c r="H306" s="741"/>
      <c r="I306" s="741"/>
      <c r="J306" s="741"/>
      <c r="K306" s="742"/>
    </row>
    <row r="307" spans="4:11" s="739" customFormat="1" x14ac:dyDescent="0.2">
      <c r="D307" s="740"/>
      <c r="F307" s="741"/>
      <c r="G307" s="741"/>
      <c r="H307" s="741"/>
      <c r="I307" s="741"/>
      <c r="J307" s="741"/>
      <c r="K307" s="742"/>
    </row>
    <row r="308" spans="4:11" s="739" customFormat="1" x14ac:dyDescent="0.2">
      <c r="D308" s="740"/>
      <c r="F308" s="741"/>
      <c r="G308" s="741"/>
      <c r="H308" s="741"/>
      <c r="I308" s="741"/>
      <c r="J308" s="741"/>
      <c r="K308" s="742"/>
    </row>
    <row r="309" spans="4:11" s="739" customFormat="1" x14ac:dyDescent="0.2">
      <c r="D309" s="740"/>
      <c r="F309" s="741"/>
      <c r="G309" s="741"/>
      <c r="H309" s="741"/>
      <c r="I309" s="741"/>
      <c r="J309" s="741"/>
      <c r="K309" s="742"/>
    </row>
    <row r="310" spans="4:11" s="739" customFormat="1" x14ac:dyDescent="0.2">
      <c r="D310" s="740"/>
      <c r="F310" s="741"/>
      <c r="G310" s="741"/>
      <c r="H310" s="741"/>
      <c r="I310" s="741"/>
      <c r="J310" s="741"/>
      <c r="K310" s="742"/>
    </row>
    <row r="311" spans="4:11" s="739" customFormat="1" x14ac:dyDescent="0.2">
      <c r="D311" s="740"/>
      <c r="F311" s="741"/>
      <c r="G311" s="741"/>
      <c r="H311" s="741"/>
      <c r="I311" s="741"/>
      <c r="J311" s="741"/>
      <c r="K311" s="742"/>
    </row>
    <row r="312" spans="4:11" s="739" customFormat="1" x14ac:dyDescent="0.2">
      <c r="D312" s="740"/>
      <c r="F312" s="741"/>
      <c r="G312" s="741"/>
      <c r="H312" s="741"/>
      <c r="I312" s="741"/>
      <c r="J312" s="741"/>
      <c r="K312" s="742"/>
    </row>
    <row r="313" spans="4:11" s="739" customFormat="1" x14ac:dyDescent="0.2">
      <c r="D313" s="740"/>
      <c r="F313" s="741"/>
      <c r="G313" s="741"/>
      <c r="H313" s="741"/>
      <c r="I313" s="741"/>
      <c r="J313" s="741"/>
      <c r="K313" s="742"/>
    </row>
    <row r="314" spans="4:11" s="739" customFormat="1" x14ac:dyDescent="0.2">
      <c r="D314" s="740"/>
      <c r="F314" s="741"/>
      <c r="G314" s="741"/>
      <c r="H314" s="741"/>
      <c r="I314" s="741"/>
      <c r="J314" s="741"/>
      <c r="K314" s="742"/>
    </row>
    <row r="315" spans="4:11" s="739" customFormat="1" x14ac:dyDescent="0.2">
      <c r="D315" s="740"/>
      <c r="F315" s="741"/>
      <c r="G315" s="741"/>
      <c r="H315" s="741"/>
      <c r="I315" s="741"/>
      <c r="J315" s="741"/>
      <c r="K315" s="742"/>
    </row>
    <row r="316" spans="4:11" s="739" customFormat="1" x14ac:dyDescent="0.2">
      <c r="D316" s="740"/>
      <c r="F316" s="741"/>
      <c r="G316" s="741"/>
      <c r="H316" s="741"/>
      <c r="I316" s="741"/>
      <c r="J316" s="741"/>
      <c r="K316" s="742"/>
    </row>
    <row r="317" spans="4:11" s="739" customFormat="1" x14ac:dyDescent="0.2">
      <c r="D317" s="740"/>
      <c r="F317" s="741"/>
      <c r="G317" s="741"/>
      <c r="H317" s="741"/>
      <c r="I317" s="741"/>
      <c r="J317" s="741"/>
      <c r="K317" s="742"/>
    </row>
    <row r="318" spans="4:11" s="739" customFormat="1" x14ac:dyDescent="0.2">
      <c r="D318" s="740"/>
      <c r="F318" s="741"/>
      <c r="G318" s="741"/>
      <c r="H318" s="741"/>
      <c r="I318" s="741"/>
      <c r="J318" s="741"/>
      <c r="K318" s="742"/>
    </row>
    <row r="319" spans="4:11" s="739" customFormat="1" x14ac:dyDescent="0.2">
      <c r="D319" s="740"/>
      <c r="F319" s="741"/>
      <c r="G319" s="741"/>
      <c r="H319" s="741"/>
      <c r="I319" s="741"/>
      <c r="J319" s="741"/>
      <c r="K319" s="742"/>
    </row>
    <row r="320" spans="4:11" s="739" customFormat="1" x14ac:dyDescent="0.2">
      <c r="D320" s="740"/>
      <c r="F320" s="741"/>
      <c r="G320" s="741"/>
      <c r="H320" s="741"/>
      <c r="I320" s="741"/>
      <c r="J320" s="741"/>
      <c r="K320" s="742"/>
    </row>
    <row r="321" spans="4:11" s="739" customFormat="1" x14ac:dyDescent="0.2">
      <c r="D321" s="740"/>
      <c r="F321" s="741"/>
      <c r="G321" s="741"/>
      <c r="H321" s="741"/>
      <c r="I321" s="741"/>
      <c r="J321" s="741"/>
      <c r="K321" s="742"/>
    </row>
    <row r="322" spans="4:11" s="739" customFormat="1" x14ac:dyDescent="0.2">
      <c r="D322" s="740"/>
      <c r="F322" s="741"/>
      <c r="G322" s="741"/>
      <c r="H322" s="741"/>
      <c r="I322" s="741"/>
      <c r="J322" s="741"/>
      <c r="K322" s="742"/>
    </row>
    <row r="323" spans="4:11" s="739" customFormat="1" x14ac:dyDescent="0.2">
      <c r="D323" s="740"/>
      <c r="F323" s="741"/>
      <c r="G323" s="741"/>
      <c r="H323" s="741"/>
      <c r="I323" s="741"/>
      <c r="J323" s="741"/>
      <c r="K323" s="742"/>
    </row>
    <row r="324" spans="4:11" s="739" customFormat="1" x14ac:dyDescent="0.2">
      <c r="D324" s="740"/>
      <c r="F324" s="741"/>
      <c r="G324" s="741"/>
      <c r="H324" s="741"/>
      <c r="I324" s="741"/>
      <c r="J324" s="741"/>
      <c r="K324" s="742"/>
    </row>
    <row r="325" spans="4:11" s="739" customFormat="1" x14ac:dyDescent="0.2">
      <c r="D325" s="740"/>
      <c r="F325" s="741"/>
      <c r="G325" s="741"/>
      <c r="H325" s="741"/>
      <c r="I325" s="741"/>
      <c r="J325" s="741"/>
      <c r="K325" s="742"/>
    </row>
    <row r="326" spans="4:11" s="739" customFormat="1" x14ac:dyDescent="0.2">
      <c r="D326" s="740"/>
      <c r="F326" s="741"/>
      <c r="G326" s="741"/>
      <c r="H326" s="741"/>
      <c r="I326" s="741"/>
      <c r="J326" s="741"/>
      <c r="K326" s="742"/>
    </row>
    <row r="327" spans="4:11" s="739" customFormat="1" x14ac:dyDescent="0.2">
      <c r="D327" s="740"/>
      <c r="F327" s="741"/>
      <c r="G327" s="741"/>
      <c r="H327" s="741"/>
      <c r="I327" s="741"/>
      <c r="J327" s="741"/>
      <c r="K327" s="742"/>
    </row>
    <row r="328" spans="4:11" s="739" customFormat="1" x14ac:dyDescent="0.2">
      <c r="D328" s="740"/>
      <c r="F328" s="741"/>
      <c r="G328" s="741"/>
      <c r="H328" s="741"/>
      <c r="I328" s="741"/>
      <c r="J328" s="741"/>
      <c r="K328" s="742"/>
    </row>
    <row r="329" spans="4:11" s="739" customFormat="1" x14ac:dyDescent="0.2">
      <c r="D329" s="740"/>
      <c r="F329" s="741"/>
      <c r="G329" s="741"/>
      <c r="H329" s="741"/>
      <c r="I329" s="741"/>
      <c r="J329" s="741"/>
      <c r="K329" s="742"/>
    </row>
    <row r="330" spans="4:11" s="739" customFormat="1" x14ac:dyDescent="0.2">
      <c r="D330" s="740"/>
      <c r="F330" s="741"/>
      <c r="G330" s="741"/>
      <c r="H330" s="741"/>
      <c r="I330" s="741"/>
      <c r="J330" s="741"/>
      <c r="K330" s="742"/>
    </row>
    <row r="331" spans="4:11" s="739" customFormat="1" x14ac:dyDescent="0.2">
      <c r="D331" s="740"/>
      <c r="F331" s="741"/>
      <c r="G331" s="741"/>
      <c r="H331" s="741"/>
      <c r="I331" s="741"/>
      <c r="J331" s="741"/>
      <c r="K331" s="742"/>
    </row>
    <row r="332" spans="4:11" s="739" customFormat="1" x14ac:dyDescent="0.2">
      <c r="D332" s="740"/>
      <c r="F332" s="741"/>
      <c r="G332" s="741"/>
      <c r="H332" s="741"/>
      <c r="I332" s="741"/>
      <c r="J332" s="741"/>
      <c r="K332" s="742"/>
    </row>
    <row r="333" spans="4:11" s="739" customFormat="1" x14ac:dyDescent="0.2">
      <c r="D333" s="740"/>
      <c r="F333" s="741"/>
      <c r="G333" s="741"/>
      <c r="H333" s="741"/>
      <c r="I333" s="741"/>
      <c r="J333" s="741"/>
      <c r="K333" s="742"/>
    </row>
    <row r="334" spans="4:11" s="739" customFormat="1" x14ac:dyDescent="0.2">
      <c r="D334" s="740"/>
      <c r="F334" s="741"/>
      <c r="G334" s="741"/>
      <c r="H334" s="741"/>
      <c r="I334" s="741"/>
      <c r="J334" s="741"/>
      <c r="K334" s="742"/>
    </row>
    <row r="335" spans="4:11" s="739" customFormat="1" x14ac:dyDescent="0.2">
      <c r="D335" s="740"/>
      <c r="F335" s="741"/>
      <c r="G335" s="741"/>
      <c r="H335" s="741"/>
      <c r="I335" s="741"/>
      <c r="J335" s="741"/>
      <c r="K335" s="742"/>
    </row>
    <row r="336" spans="4:11" s="739" customFormat="1" x14ac:dyDescent="0.2">
      <c r="D336" s="740"/>
      <c r="F336" s="741"/>
      <c r="G336" s="741"/>
      <c r="H336" s="741"/>
      <c r="I336" s="741"/>
      <c r="J336" s="741"/>
      <c r="K336" s="742"/>
    </row>
    <row r="337" spans="4:11" s="739" customFormat="1" x14ac:dyDescent="0.2">
      <c r="D337" s="740"/>
      <c r="F337" s="741"/>
      <c r="G337" s="741"/>
      <c r="H337" s="741"/>
      <c r="I337" s="741"/>
      <c r="J337" s="741"/>
      <c r="K337" s="742"/>
    </row>
    <row r="338" spans="4:11" s="739" customFormat="1" x14ac:dyDescent="0.2">
      <c r="D338" s="740"/>
      <c r="F338" s="741"/>
      <c r="G338" s="741"/>
      <c r="H338" s="741"/>
      <c r="I338" s="741"/>
      <c r="J338" s="741"/>
      <c r="K338" s="742"/>
    </row>
    <row r="339" spans="4:11" s="739" customFormat="1" x14ac:dyDescent="0.2">
      <c r="D339" s="740"/>
      <c r="F339" s="741"/>
      <c r="G339" s="741"/>
      <c r="H339" s="741"/>
      <c r="I339" s="741"/>
      <c r="J339" s="741"/>
      <c r="K339" s="742"/>
    </row>
    <row r="340" spans="4:11" s="739" customFormat="1" x14ac:dyDescent="0.2">
      <c r="D340" s="740"/>
      <c r="F340" s="741"/>
      <c r="G340" s="741"/>
      <c r="H340" s="741"/>
      <c r="I340" s="741"/>
      <c r="J340" s="741"/>
      <c r="K340" s="742"/>
    </row>
    <row r="341" spans="4:11" s="739" customFormat="1" x14ac:dyDescent="0.2">
      <c r="D341" s="740"/>
      <c r="F341" s="741"/>
      <c r="G341" s="741"/>
      <c r="H341" s="741"/>
      <c r="I341" s="741"/>
      <c r="J341" s="741"/>
      <c r="K341" s="742"/>
    </row>
    <row r="342" spans="4:11" s="739" customFormat="1" x14ac:dyDescent="0.2">
      <c r="D342" s="740"/>
      <c r="F342" s="741"/>
      <c r="G342" s="741"/>
      <c r="H342" s="741"/>
      <c r="I342" s="741"/>
      <c r="J342" s="741"/>
      <c r="K342" s="742"/>
    </row>
    <row r="343" spans="4:11" s="739" customFormat="1" x14ac:dyDescent="0.2">
      <c r="D343" s="740"/>
      <c r="F343" s="741"/>
      <c r="G343" s="741"/>
      <c r="H343" s="741"/>
      <c r="I343" s="741"/>
      <c r="J343" s="741"/>
      <c r="K343" s="742"/>
    </row>
    <row r="344" spans="4:11" s="739" customFormat="1" x14ac:dyDescent="0.2">
      <c r="D344" s="740"/>
      <c r="F344" s="741"/>
      <c r="G344" s="741"/>
      <c r="H344" s="741"/>
      <c r="I344" s="741"/>
      <c r="J344" s="741"/>
      <c r="K344" s="742"/>
    </row>
    <row r="345" spans="4:11" s="739" customFormat="1" x14ac:dyDescent="0.2">
      <c r="D345" s="740"/>
      <c r="F345" s="741"/>
      <c r="G345" s="741"/>
      <c r="H345" s="741"/>
      <c r="I345" s="741"/>
      <c r="J345" s="741"/>
      <c r="K345" s="742"/>
    </row>
    <row r="346" spans="4:11" s="739" customFormat="1" x14ac:dyDescent="0.2">
      <c r="D346" s="740"/>
      <c r="F346" s="741"/>
      <c r="G346" s="741"/>
      <c r="H346" s="741"/>
      <c r="I346" s="741"/>
      <c r="J346" s="741"/>
      <c r="K346" s="742"/>
    </row>
    <row r="347" spans="4:11" s="739" customFormat="1" x14ac:dyDescent="0.2">
      <c r="D347" s="740"/>
      <c r="F347" s="741"/>
      <c r="G347" s="741"/>
      <c r="H347" s="741"/>
      <c r="I347" s="741"/>
      <c r="J347" s="741"/>
      <c r="K347" s="742"/>
    </row>
    <row r="348" spans="4:11" s="739" customFormat="1" x14ac:dyDescent="0.2">
      <c r="D348" s="740"/>
      <c r="F348" s="741"/>
      <c r="G348" s="741"/>
      <c r="H348" s="741"/>
      <c r="I348" s="741"/>
      <c r="J348" s="741"/>
      <c r="K348" s="742"/>
    </row>
    <row r="349" spans="4:11" s="739" customFormat="1" x14ac:dyDescent="0.2">
      <c r="D349" s="740"/>
      <c r="F349" s="741"/>
      <c r="G349" s="741"/>
      <c r="H349" s="741"/>
      <c r="I349" s="741"/>
      <c r="J349" s="741"/>
      <c r="K349" s="742"/>
    </row>
    <row r="350" spans="4:11" s="739" customFormat="1" x14ac:dyDescent="0.2">
      <c r="D350" s="740"/>
      <c r="F350" s="741"/>
      <c r="G350" s="741"/>
      <c r="H350" s="741"/>
      <c r="I350" s="741"/>
      <c r="J350" s="741"/>
      <c r="K350" s="742"/>
    </row>
    <row r="351" spans="4:11" s="739" customFormat="1" x14ac:dyDescent="0.2">
      <c r="D351" s="740"/>
      <c r="F351" s="741"/>
      <c r="G351" s="741"/>
      <c r="H351" s="741"/>
      <c r="I351" s="741"/>
      <c r="J351" s="741"/>
      <c r="K351" s="742"/>
    </row>
    <row r="352" spans="4:11" s="739" customFormat="1" x14ac:dyDescent="0.2">
      <c r="D352" s="740"/>
      <c r="F352" s="741"/>
      <c r="G352" s="741"/>
      <c r="H352" s="741"/>
      <c r="I352" s="741"/>
      <c r="J352" s="741"/>
      <c r="K352" s="742"/>
    </row>
    <row r="353" spans="4:11" s="739" customFormat="1" x14ac:dyDescent="0.2">
      <c r="D353" s="740"/>
      <c r="F353" s="741"/>
      <c r="G353" s="741"/>
      <c r="H353" s="741"/>
      <c r="I353" s="741"/>
      <c r="J353" s="741"/>
      <c r="K353" s="742"/>
    </row>
    <row r="354" spans="4:11" s="739" customFormat="1" x14ac:dyDescent="0.2">
      <c r="D354" s="740"/>
      <c r="F354" s="741"/>
      <c r="G354" s="741"/>
      <c r="H354" s="741"/>
      <c r="I354" s="741"/>
      <c r="J354" s="741"/>
      <c r="K354" s="742"/>
    </row>
    <row r="355" spans="4:11" s="739" customFormat="1" x14ac:dyDescent="0.2">
      <c r="D355" s="740"/>
      <c r="F355" s="741"/>
      <c r="G355" s="741"/>
      <c r="H355" s="741"/>
      <c r="I355" s="741"/>
      <c r="J355" s="741"/>
      <c r="K355" s="742"/>
    </row>
    <row r="356" spans="4:11" s="739" customFormat="1" x14ac:dyDescent="0.2">
      <c r="D356" s="740"/>
      <c r="F356" s="741"/>
      <c r="G356" s="741"/>
      <c r="H356" s="741"/>
      <c r="I356" s="741"/>
      <c r="J356" s="741"/>
      <c r="K356" s="742"/>
    </row>
    <row r="357" spans="4:11" s="739" customFormat="1" x14ac:dyDescent="0.2">
      <c r="D357" s="740"/>
      <c r="F357" s="741"/>
      <c r="G357" s="741"/>
      <c r="H357" s="741"/>
      <c r="I357" s="741"/>
      <c r="J357" s="741"/>
      <c r="K357" s="742"/>
    </row>
    <row r="358" spans="4:11" s="739" customFormat="1" x14ac:dyDescent="0.2">
      <c r="D358" s="740"/>
      <c r="F358" s="741"/>
      <c r="G358" s="741"/>
      <c r="H358" s="741"/>
      <c r="I358" s="741"/>
      <c r="J358" s="741"/>
      <c r="K358" s="742"/>
    </row>
    <row r="359" spans="4:11" s="739" customFormat="1" x14ac:dyDescent="0.2">
      <c r="D359" s="740"/>
      <c r="F359" s="741"/>
      <c r="G359" s="741"/>
      <c r="H359" s="741"/>
      <c r="I359" s="741"/>
      <c r="J359" s="741"/>
      <c r="K359" s="742"/>
    </row>
    <row r="360" spans="4:11" s="739" customFormat="1" x14ac:dyDescent="0.2">
      <c r="D360" s="740"/>
      <c r="F360" s="741"/>
      <c r="G360" s="741"/>
      <c r="H360" s="741"/>
      <c r="I360" s="741"/>
      <c r="J360" s="741"/>
      <c r="K360" s="742"/>
    </row>
    <row r="361" spans="4:11" s="739" customFormat="1" x14ac:dyDescent="0.2">
      <c r="D361" s="740"/>
      <c r="F361" s="741"/>
      <c r="G361" s="741"/>
      <c r="H361" s="741"/>
      <c r="I361" s="741"/>
      <c r="J361" s="741"/>
      <c r="K361" s="742"/>
    </row>
    <row r="362" spans="4:11" s="739" customFormat="1" x14ac:dyDescent="0.2">
      <c r="D362" s="740"/>
      <c r="F362" s="741"/>
      <c r="G362" s="741"/>
      <c r="H362" s="741"/>
      <c r="I362" s="741"/>
      <c r="J362" s="741"/>
      <c r="K362" s="742"/>
    </row>
    <row r="363" spans="4:11" s="739" customFormat="1" x14ac:dyDescent="0.2">
      <c r="D363" s="740"/>
      <c r="F363" s="741"/>
      <c r="G363" s="741"/>
      <c r="H363" s="741"/>
      <c r="I363" s="741"/>
      <c r="J363" s="741"/>
      <c r="K363" s="742"/>
    </row>
    <row r="364" spans="4:11" s="739" customFormat="1" x14ac:dyDescent="0.2">
      <c r="D364" s="740"/>
      <c r="F364" s="741"/>
      <c r="G364" s="741"/>
      <c r="H364" s="741"/>
      <c r="I364" s="741"/>
      <c r="J364" s="741"/>
      <c r="K364" s="742"/>
    </row>
    <row r="365" spans="4:11" s="739" customFormat="1" x14ac:dyDescent="0.2">
      <c r="D365" s="740"/>
      <c r="F365" s="741"/>
      <c r="G365" s="741"/>
      <c r="H365" s="741"/>
      <c r="I365" s="741"/>
      <c r="J365" s="741"/>
      <c r="K365" s="742"/>
    </row>
    <row r="366" spans="4:11" s="739" customFormat="1" x14ac:dyDescent="0.2">
      <c r="D366" s="740"/>
      <c r="F366" s="741"/>
      <c r="G366" s="741"/>
      <c r="H366" s="741"/>
      <c r="I366" s="741"/>
      <c r="J366" s="741"/>
      <c r="K366" s="742"/>
    </row>
    <row r="367" spans="4:11" s="739" customFormat="1" x14ac:dyDescent="0.2">
      <c r="D367" s="740"/>
      <c r="F367" s="741"/>
      <c r="G367" s="741"/>
      <c r="H367" s="741"/>
      <c r="I367" s="741"/>
      <c r="J367" s="741"/>
      <c r="K367" s="742"/>
    </row>
    <row r="368" spans="4:11" s="739" customFormat="1" x14ac:dyDescent="0.2">
      <c r="D368" s="740"/>
      <c r="F368" s="741"/>
      <c r="G368" s="741"/>
      <c r="H368" s="741"/>
      <c r="I368" s="741"/>
      <c r="J368" s="741"/>
      <c r="K368" s="742"/>
    </row>
    <row r="369" spans="4:11" s="739" customFormat="1" x14ac:dyDescent="0.2">
      <c r="D369" s="740"/>
      <c r="F369" s="741"/>
      <c r="G369" s="741"/>
      <c r="H369" s="741"/>
      <c r="I369" s="741"/>
      <c r="J369" s="741"/>
      <c r="K369" s="742"/>
    </row>
    <row r="370" spans="4:11" s="739" customFormat="1" x14ac:dyDescent="0.2">
      <c r="D370" s="740"/>
      <c r="F370" s="741"/>
      <c r="G370" s="741"/>
      <c r="H370" s="741"/>
      <c r="I370" s="741"/>
      <c r="J370" s="741"/>
      <c r="K370" s="742"/>
    </row>
    <row r="371" spans="4:11" s="739" customFormat="1" x14ac:dyDescent="0.2">
      <c r="D371" s="740"/>
      <c r="F371" s="741"/>
      <c r="G371" s="741"/>
      <c r="H371" s="741"/>
      <c r="I371" s="741"/>
      <c r="J371" s="741"/>
      <c r="K371" s="742"/>
    </row>
    <row r="372" spans="4:11" s="739" customFormat="1" x14ac:dyDescent="0.2">
      <c r="D372" s="740"/>
      <c r="F372" s="741"/>
      <c r="G372" s="741"/>
      <c r="H372" s="741"/>
      <c r="I372" s="741"/>
      <c r="J372" s="741"/>
      <c r="K372" s="742"/>
    </row>
    <row r="373" spans="4:11" s="739" customFormat="1" x14ac:dyDescent="0.2">
      <c r="D373" s="740"/>
      <c r="F373" s="741"/>
      <c r="G373" s="741"/>
      <c r="H373" s="741"/>
      <c r="I373" s="741"/>
      <c r="J373" s="741"/>
      <c r="K373" s="742"/>
    </row>
    <row r="374" spans="4:11" s="739" customFormat="1" x14ac:dyDescent="0.2">
      <c r="D374" s="740"/>
      <c r="F374" s="741"/>
      <c r="G374" s="741"/>
      <c r="H374" s="741"/>
      <c r="I374" s="741"/>
      <c r="J374" s="741"/>
      <c r="K374" s="742"/>
    </row>
    <row r="375" spans="4:11" s="739" customFormat="1" x14ac:dyDescent="0.2">
      <c r="D375" s="740"/>
      <c r="F375" s="741"/>
      <c r="G375" s="741"/>
      <c r="H375" s="741"/>
      <c r="I375" s="741"/>
      <c r="J375" s="741"/>
      <c r="K375" s="742"/>
    </row>
    <row r="376" spans="4:11" s="739" customFormat="1" x14ac:dyDescent="0.2">
      <c r="D376" s="740"/>
      <c r="F376" s="741"/>
      <c r="G376" s="741"/>
      <c r="H376" s="741"/>
      <c r="I376" s="741"/>
      <c r="J376" s="741"/>
      <c r="K376" s="742"/>
    </row>
    <row r="377" spans="4:11" s="739" customFormat="1" x14ac:dyDescent="0.2">
      <c r="D377" s="740"/>
      <c r="F377" s="741"/>
      <c r="G377" s="741"/>
      <c r="H377" s="741"/>
      <c r="I377" s="741"/>
      <c r="J377" s="741"/>
      <c r="K377" s="742"/>
    </row>
    <row r="378" spans="4:11" s="739" customFormat="1" x14ac:dyDescent="0.2">
      <c r="D378" s="740"/>
      <c r="F378" s="741"/>
      <c r="G378" s="741"/>
      <c r="H378" s="741"/>
      <c r="I378" s="741"/>
      <c r="J378" s="741"/>
      <c r="K378" s="742"/>
    </row>
    <row r="379" spans="4:11" s="739" customFormat="1" x14ac:dyDescent="0.2">
      <c r="D379" s="740"/>
      <c r="F379" s="741"/>
      <c r="G379" s="741"/>
      <c r="H379" s="741"/>
      <c r="I379" s="741"/>
      <c r="J379" s="741"/>
      <c r="K379" s="742"/>
    </row>
    <row r="380" spans="4:11" s="739" customFormat="1" x14ac:dyDescent="0.2">
      <c r="D380" s="740"/>
      <c r="F380" s="741"/>
      <c r="G380" s="741"/>
      <c r="H380" s="741"/>
      <c r="I380" s="741"/>
      <c r="J380" s="741"/>
      <c r="K380" s="742"/>
    </row>
    <row r="381" spans="4:11" s="739" customFormat="1" x14ac:dyDescent="0.2">
      <c r="D381" s="740"/>
      <c r="F381" s="741"/>
      <c r="G381" s="741"/>
      <c r="H381" s="741"/>
      <c r="I381" s="741"/>
      <c r="J381" s="741"/>
      <c r="K381" s="742"/>
    </row>
    <row r="382" spans="4:11" s="739" customFormat="1" x14ac:dyDescent="0.2">
      <c r="D382" s="740"/>
      <c r="F382" s="741"/>
      <c r="G382" s="741"/>
      <c r="H382" s="741"/>
      <c r="I382" s="741"/>
      <c r="J382" s="741"/>
      <c r="K382" s="742"/>
    </row>
    <row r="383" spans="4:11" s="739" customFormat="1" x14ac:dyDescent="0.2">
      <c r="D383" s="740"/>
      <c r="F383" s="741"/>
      <c r="G383" s="741"/>
      <c r="H383" s="741"/>
      <c r="I383" s="741"/>
      <c r="J383" s="741"/>
      <c r="K383" s="742"/>
    </row>
    <row r="384" spans="4:11" s="739" customFormat="1" x14ac:dyDescent="0.2">
      <c r="D384" s="740"/>
      <c r="F384" s="741"/>
      <c r="G384" s="741"/>
      <c r="H384" s="741"/>
      <c r="I384" s="741"/>
      <c r="J384" s="741"/>
      <c r="K384" s="742"/>
    </row>
    <row r="385" spans="4:11" s="739" customFormat="1" x14ac:dyDescent="0.2">
      <c r="D385" s="740"/>
      <c r="F385" s="741"/>
      <c r="G385" s="741"/>
      <c r="H385" s="741"/>
      <c r="I385" s="741"/>
      <c r="J385" s="741"/>
      <c r="K385" s="742"/>
    </row>
    <row r="386" spans="4:11" s="739" customFormat="1" x14ac:dyDescent="0.2">
      <c r="D386" s="740"/>
      <c r="F386" s="741"/>
      <c r="G386" s="741"/>
      <c r="H386" s="741"/>
      <c r="I386" s="741"/>
      <c r="J386" s="741"/>
      <c r="K386" s="742"/>
    </row>
    <row r="387" spans="4:11" s="739" customFormat="1" x14ac:dyDescent="0.2">
      <c r="D387" s="740"/>
      <c r="F387" s="741"/>
      <c r="G387" s="741"/>
      <c r="H387" s="741"/>
      <c r="I387" s="741"/>
      <c r="J387" s="741"/>
      <c r="K387" s="742"/>
    </row>
    <row r="388" spans="4:11" s="739" customFormat="1" x14ac:dyDescent="0.2">
      <c r="D388" s="740"/>
      <c r="F388" s="741"/>
      <c r="G388" s="741"/>
      <c r="H388" s="741"/>
      <c r="I388" s="741"/>
      <c r="J388" s="741"/>
      <c r="K388" s="742"/>
    </row>
    <row r="389" spans="4:11" s="739" customFormat="1" x14ac:dyDescent="0.2">
      <c r="D389" s="740"/>
      <c r="F389" s="741"/>
      <c r="G389" s="741"/>
      <c r="H389" s="741"/>
      <c r="I389" s="741"/>
      <c r="J389" s="741"/>
      <c r="K389" s="742"/>
    </row>
    <row r="390" spans="4:11" s="739" customFormat="1" x14ac:dyDescent="0.2">
      <c r="D390" s="740"/>
      <c r="F390" s="741"/>
      <c r="G390" s="741"/>
      <c r="H390" s="741"/>
      <c r="I390" s="741"/>
      <c r="J390" s="741"/>
      <c r="K390" s="742"/>
    </row>
    <row r="391" spans="4:11" s="739" customFormat="1" x14ac:dyDescent="0.2">
      <c r="D391" s="740"/>
      <c r="F391" s="741"/>
      <c r="G391" s="741"/>
      <c r="H391" s="741"/>
      <c r="I391" s="741"/>
      <c r="J391" s="741"/>
      <c r="K391" s="742"/>
    </row>
    <row r="392" spans="4:11" s="739" customFormat="1" x14ac:dyDescent="0.2">
      <c r="D392" s="740"/>
      <c r="F392" s="741"/>
      <c r="G392" s="741"/>
      <c r="H392" s="741"/>
      <c r="I392" s="741"/>
      <c r="J392" s="741"/>
      <c r="K392" s="742"/>
    </row>
    <row r="393" spans="4:11" s="739" customFormat="1" x14ac:dyDescent="0.2">
      <c r="D393" s="740"/>
      <c r="F393" s="741"/>
      <c r="G393" s="741"/>
      <c r="H393" s="741"/>
      <c r="I393" s="741"/>
      <c r="J393" s="741"/>
      <c r="K393" s="742"/>
    </row>
    <row r="394" spans="4:11" s="739" customFormat="1" x14ac:dyDescent="0.2">
      <c r="D394" s="740"/>
      <c r="F394" s="741"/>
      <c r="G394" s="741"/>
      <c r="H394" s="741"/>
      <c r="I394" s="741"/>
      <c r="J394" s="741"/>
      <c r="K394" s="742"/>
    </row>
    <row r="395" spans="4:11" s="739" customFormat="1" x14ac:dyDescent="0.2">
      <c r="D395" s="740"/>
      <c r="F395" s="741"/>
      <c r="G395" s="741"/>
      <c r="H395" s="741"/>
      <c r="I395" s="741"/>
      <c r="J395" s="741"/>
      <c r="K395" s="742"/>
    </row>
    <row r="396" spans="4:11" s="739" customFormat="1" x14ac:dyDescent="0.2">
      <c r="D396" s="740"/>
      <c r="F396" s="741"/>
      <c r="G396" s="741"/>
      <c r="H396" s="741"/>
      <c r="I396" s="741"/>
      <c r="J396" s="741"/>
      <c r="K396" s="742"/>
    </row>
    <row r="397" spans="4:11" s="739" customFormat="1" x14ac:dyDescent="0.2">
      <c r="D397" s="740"/>
      <c r="F397" s="741"/>
      <c r="G397" s="741"/>
      <c r="H397" s="741"/>
      <c r="I397" s="741"/>
      <c r="J397" s="741"/>
      <c r="K397" s="742"/>
    </row>
    <row r="398" spans="4:11" s="739" customFormat="1" x14ac:dyDescent="0.2">
      <c r="D398" s="740"/>
      <c r="F398" s="741"/>
      <c r="G398" s="741"/>
      <c r="H398" s="741"/>
      <c r="I398" s="741"/>
      <c r="J398" s="741"/>
      <c r="K398" s="742"/>
    </row>
    <row r="399" spans="4:11" s="739" customFormat="1" x14ac:dyDescent="0.2">
      <c r="D399" s="740"/>
      <c r="F399" s="741"/>
      <c r="G399" s="741"/>
      <c r="H399" s="741"/>
      <c r="I399" s="741"/>
      <c r="J399" s="741"/>
      <c r="K399" s="742"/>
    </row>
    <row r="400" spans="4:11" s="739" customFormat="1" x14ac:dyDescent="0.2">
      <c r="D400" s="740"/>
      <c r="F400" s="741"/>
      <c r="G400" s="741"/>
      <c r="H400" s="741"/>
      <c r="I400" s="741"/>
      <c r="J400" s="741"/>
      <c r="K400" s="742"/>
    </row>
    <row r="401" spans="4:11" s="739" customFormat="1" x14ac:dyDescent="0.2">
      <c r="D401" s="740"/>
      <c r="F401" s="741"/>
      <c r="G401" s="741"/>
      <c r="H401" s="741"/>
      <c r="I401" s="741"/>
      <c r="J401" s="741"/>
      <c r="K401" s="742"/>
    </row>
    <row r="402" spans="4:11" s="739" customFormat="1" x14ac:dyDescent="0.2">
      <c r="D402" s="740"/>
      <c r="F402" s="741"/>
      <c r="G402" s="741"/>
      <c r="H402" s="741"/>
      <c r="I402" s="741"/>
      <c r="J402" s="741"/>
      <c r="K402" s="742"/>
    </row>
    <row r="403" spans="4:11" s="739" customFormat="1" x14ac:dyDescent="0.2">
      <c r="D403" s="740"/>
      <c r="F403" s="741"/>
      <c r="G403" s="741"/>
      <c r="H403" s="741"/>
      <c r="I403" s="741"/>
      <c r="J403" s="741"/>
      <c r="K403" s="742"/>
    </row>
    <row r="404" spans="4:11" s="739" customFormat="1" x14ac:dyDescent="0.2">
      <c r="D404" s="740"/>
      <c r="F404" s="741"/>
      <c r="G404" s="741"/>
      <c r="H404" s="741"/>
      <c r="I404" s="741"/>
      <c r="J404" s="741"/>
      <c r="K404" s="742"/>
    </row>
    <row r="405" spans="4:11" s="739" customFormat="1" x14ac:dyDescent="0.2">
      <c r="D405" s="740"/>
      <c r="F405" s="741"/>
      <c r="G405" s="741"/>
      <c r="H405" s="741"/>
      <c r="I405" s="741"/>
      <c r="J405" s="741"/>
      <c r="K405" s="742"/>
    </row>
    <row r="406" spans="4:11" s="739" customFormat="1" x14ac:dyDescent="0.2">
      <c r="D406" s="740"/>
      <c r="F406" s="741"/>
      <c r="G406" s="741"/>
      <c r="H406" s="741"/>
      <c r="I406" s="741"/>
      <c r="J406" s="741"/>
      <c r="K406" s="742"/>
    </row>
    <row r="407" spans="4:11" s="739" customFormat="1" x14ac:dyDescent="0.2">
      <c r="D407" s="740"/>
      <c r="F407" s="741"/>
      <c r="G407" s="741"/>
      <c r="H407" s="741"/>
      <c r="I407" s="741"/>
      <c r="J407" s="741"/>
      <c r="K407" s="742"/>
    </row>
    <row r="408" spans="4:11" s="739" customFormat="1" x14ac:dyDescent="0.2">
      <c r="D408" s="740"/>
      <c r="F408" s="741"/>
      <c r="G408" s="741"/>
      <c r="H408" s="741"/>
      <c r="I408" s="741"/>
      <c r="J408" s="741"/>
      <c r="K408" s="742"/>
    </row>
    <row r="409" spans="4:11" s="739" customFormat="1" x14ac:dyDescent="0.2">
      <c r="D409" s="740"/>
      <c r="F409" s="741"/>
      <c r="G409" s="741"/>
      <c r="H409" s="741"/>
      <c r="I409" s="741"/>
      <c r="J409" s="741"/>
      <c r="K409" s="742"/>
    </row>
    <row r="410" spans="4:11" s="739" customFormat="1" x14ac:dyDescent="0.2">
      <c r="D410" s="740"/>
      <c r="F410" s="741"/>
      <c r="G410" s="741"/>
      <c r="H410" s="741"/>
      <c r="I410" s="741"/>
      <c r="J410" s="741"/>
      <c r="K410" s="742"/>
    </row>
    <row r="411" spans="4:11" s="739" customFormat="1" x14ac:dyDescent="0.2">
      <c r="D411" s="740"/>
      <c r="F411" s="741"/>
      <c r="G411" s="741"/>
      <c r="H411" s="741"/>
      <c r="I411" s="741"/>
      <c r="J411" s="741"/>
      <c r="K411" s="742"/>
    </row>
    <row r="412" spans="4:11" s="739" customFormat="1" x14ac:dyDescent="0.2">
      <c r="D412" s="740"/>
      <c r="F412" s="741"/>
      <c r="G412" s="741"/>
      <c r="H412" s="741"/>
      <c r="I412" s="741"/>
      <c r="J412" s="741"/>
      <c r="K412" s="742"/>
    </row>
    <row r="413" spans="4:11" s="739" customFormat="1" x14ac:dyDescent="0.2">
      <c r="D413" s="740"/>
      <c r="F413" s="741"/>
      <c r="G413" s="741"/>
      <c r="H413" s="741"/>
      <c r="I413" s="741"/>
      <c r="J413" s="741"/>
      <c r="K413" s="742"/>
    </row>
    <row r="414" spans="4:11" s="739" customFormat="1" x14ac:dyDescent="0.2">
      <c r="D414" s="740"/>
      <c r="F414" s="741"/>
      <c r="G414" s="741"/>
      <c r="H414" s="741"/>
      <c r="I414" s="741"/>
      <c r="J414" s="741"/>
      <c r="K414" s="742"/>
    </row>
    <row r="415" spans="4:11" s="739" customFormat="1" x14ac:dyDescent="0.2">
      <c r="D415" s="740"/>
      <c r="F415" s="741"/>
      <c r="G415" s="741"/>
      <c r="H415" s="741"/>
      <c r="I415" s="741"/>
      <c r="J415" s="741"/>
      <c r="K415" s="742"/>
    </row>
    <row r="416" spans="4:11" s="739" customFormat="1" x14ac:dyDescent="0.2">
      <c r="D416" s="740"/>
      <c r="F416" s="741"/>
      <c r="G416" s="741"/>
      <c r="H416" s="741"/>
      <c r="I416" s="741"/>
      <c r="J416" s="741"/>
      <c r="K416" s="742"/>
    </row>
    <row r="417" spans="4:11" s="739" customFormat="1" x14ac:dyDescent="0.2">
      <c r="D417" s="740"/>
      <c r="F417" s="741"/>
      <c r="G417" s="741"/>
      <c r="H417" s="741"/>
      <c r="I417" s="741"/>
      <c r="J417" s="741"/>
      <c r="K417" s="742"/>
    </row>
    <row r="418" spans="4:11" s="739" customFormat="1" x14ac:dyDescent="0.2">
      <c r="D418" s="740"/>
      <c r="F418" s="741"/>
      <c r="G418" s="741"/>
      <c r="H418" s="741"/>
      <c r="I418" s="741"/>
      <c r="J418" s="741"/>
      <c r="K418" s="742"/>
    </row>
    <row r="419" spans="4:11" s="739" customFormat="1" x14ac:dyDescent="0.2">
      <c r="D419" s="740"/>
      <c r="F419" s="741"/>
      <c r="G419" s="741"/>
      <c r="H419" s="741"/>
      <c r="I419" s="741"/>
      <c r="J419" s="741"/>
      <c r="K419" s="742"/>
    </row>
    <row r="420" spans="4:11" s="739" customFormat="1" x14ac:dyDescent="0.2">
      <c r="D420" s="740"/>
      <c r="F420" s="741"/>
      <c r="G420" s="741"/>
      <c r="H420" s="741"/>
      <c r="I420" s="741"/>
      <c r="J420" s="741"/>
      <c r="K420" s="742"/>
    </row>
    <row r="421" spans="4:11" s="739" customFormat="1" x14ac:dyDescent="0.2">
      <c r="D421" s="740"/>
      <c r="F421" s="741"/>
      <c r="G421" s="741"/>
      <c r="H421" s="741"/>
      <c r="I421" s="741"/>
      <c r="J421" s="741"/>
      <c r="K421" s="742"/>
    </row>
    <row r="422" spans="4:11" s="739" customFormat="1" x14ac:dyDescent="0.2">
      <c r="D422" s="740"/>
      <c r="F422" s="741"/>
      <c r="G422" s="741"/>
      <c r="H422" s="741"/>
      <c r="I422" s="741"/>
      <c r="J422" s="741"/>
      <c r="K422" s="742"/>
    </row>
    <row r="423" spans="4:11" s="739" customFormat="1" x14ac:dyDescent="0.2">
      <c r="D423" s="740"/>
      <c r="F423" s="741"/>
      <c r="G423" s="741"/>
      <c r="H423" s="741"/>
      <c r="I423" s="741"/>
      <c r="J423" s="741"/>
      <c r="K423" s="742"/>
    </row>
    <row r="424" spans="4:11" s="739" customFormat="1" x14ac:dyDescent="0.2">
      <c r="D424" s="740"/>
      <c r="F424" s="741"/>
      <c r="G424" s="741"/>
      <c r="H424" s="741"/>
      <c r="I424" s="741"/>
      <c r="J424" s="741"/>
      <c r="K424" s="742"/>
    </row>
    <row r="425" spans="4:11" s="739" customFormat="1" x14ac:dyDescent="0.2">
      <c r="D425" s="740"/>
      <c r="F425" s="741"/>
      <c r="G425" s="741"/>
      <c r="H425" s="741"/>
      <c r="I425" s="741"/>
      <c r="J425" s="741"/>
      <c r="K425" s="742"/>
    </row>
    <row r="426" spans="4:11" s="739" customFormat="1" x14ac:dyDescent="0.2">
      <c r="D426" s="740"/>
      <c r="F426" s="741"/>
      <c r="G426" s="741"/>
      <c r="H426" s="741"/>
      <c r="I426" s="741"/>
      <c r="J426" s="741"/>
      <c r="K426" s="742"/>
    </row>
    <row r="427" spans="4:11" s="739" customFormat="1" x14ac:dyDescent="0.2">
      <c r="D427" s="740"/>
      <c r="F427" s="741"/>
      <c r="G427" s="741"/>
      <c r="H427" s="741"/>
      <c r="I427" s="741"/>
      <c r="J427" s="741"/>
      <c r="K427" s="742"/>
    </row>
    <row r="428" spans="4:11" s="739" customFormat="1" x14ac:dyDescent="0.2">
      <c r="D428" s="740"/>
      <c r="F428" s="741"/>
      <c r="G428" s="741"/>
      <c r="H428" s="741"/>
      <c r="I428" s="741"/>
      <c r="J428" s="741"/>
      <c r="K428" s="742"/>
    </row>
    <row r="429" spans="4:11" s="739" customFormat="1" x14ac:dyDescent="0.2">
      <c r="D429" s="740"/>
      <c r="F429" s="741"/>
      <c r="G429" s="741"/>
      <c r="H429" s="741"/>
      <c r="I429" s="741"/>
      <c r="J429" s="741"/>
      <c r="K429" s="742"/>
    </row>
    <row r="430" spans="4:11" s="739" customFormat="1" x14ac:dyDescent="0.2">
      <c r="D430" s="740"/>
      <c r="F430" s="741"/>
      <c r="G430" s="741"/>
      <c r="H430" s="741"/>
      <c r="I430" s="741"/>
      <c r="J430" s="741"/>
      <c r="K430" s="742"/>
    </row>
    <row r="431" spans="4:11" s="739" customFormat="1" x14ac:dyDescent="0.2">
      <c r="D431" s="740"/>
      <c r="F431" s="741"/>
      <c r="G431" s="741"/>
      <c r="H431" s="741"/>
      <c r="I431" s="741"/>
      <c r="J431" s="741"/>
      <c r="K431" s="742"/>
    </row>
    <row r="432" spans="4:11" s="739" customFormat="1" x14ac:dyDescent="0.2">
      <c r="D432" s="740"/>
      <c r="F432" s="741"/>
      <c r="G432" s="741"/>
      <c r="H432" s="741"/>
      <c r="I432" s="741"/>
      <c r="J432" s="741"/>
      <c r="K432" s="742"/>
    </row>
    <row r="433" spans="4:11" s="739" customFormat="1" x14ac:dyDescent="0.2">
      <c r="D433" s="740"/>
      <c r="F433" s="741"/>
      <c r="G433" s="741"/>
      <c r="H433" s="741"/>
      <c r="I433" s="741"/>
      <c r="J433" s="741"/>
      <c r="K433" s="742"/>
    </row>
    <row r="434" spans="4:11" s="739" customFormat="1" x14ac:dyDescent="0.2">
      <c r="D434" s="740"/>
      <c r="F434" s="741"/>
      <c r="G434" s="741"/>
      <c r="H434" s="741"/>
      <c r="I434" s="741"/>
      <c r="J434" s="741"/>
      <c r="K434" s="742"/>
    </row>
    <row r="435" spans="4:11" s="739" customFormat="1" x14ac:dyDescent="0.2">
      <c r="D435" s="740"/>
      <c r="F435" s="741"/>
      <c r="G435" s="741"/>
      <c r="H435" s="741"/>
      <c r="I435" s="741"/>
      <c r="J435" s="741"/>
      <c r="K435" s="742"/>
    </row>
    <row r="436" spans="4:11" s="739" customFormat="1" x14ac:dyDescent="0.2">
      <c r="D436" s="740"/>
      <c r="F436" s="741"/>
      <c r="G436" s="741"/>
      <c r="H436" s="741"/>
      <c r="I436" s="741"/>
      <c r="J436" s="741"/>
      <c r="K436" s="742"/>
    </row>
    <row r="437" spans="4:11" s="739" customFormat="1" x14ac:dyDescent="0.2">
      <c r="D437" s="740"/>
      <c r="F437" s="741"/>
      <c r="G437" s="741"/>
      <c r="H437" s="741"/>
      <c r="I437" s="741"/>
      <c r="J437" s="741"/>
      <c r="K437" s="742"/>
    </row>
    <row r="438" spans="4:11" s="739" customFormat="1" x14ac:dyDescent="0.2">
      <c r="D438" s="740"/>
      <c r="F438" s="741"/>
      <c r="G438" s="741"/>
      <c r="H438" s="741"/>
      <c r="I438" s="741"/>
      <c r="J438" s="741"/>
      <c r="K438" s="742"/>
    </row>
    <row r="439" spans="4:11" s="739" customFormat="1" x14ac:dyDescent="0.2">
      <c r="D439" s="740"/>
      <c r="F439" s="741"/>
      <c r="G439" s="741"/>
      <c r="H439" s="741"/>
      <c r="I439" s="741"/>
      <c r="J439" s="741"/>
      <c r="K439" s="742"/>
    </row>
    <row r="440" spans="4:11" s="739" customFormat="1" x14ac:dyDescent="0.2">
      <c r="D440" s="740"/>
      <c r="F440" s="741"/>
      <c r="G440" s="741"/>
      <c r="H440" s="741"/>
      <c r="I440" s="741"/>
      <c r="J440" s="741"/>
      <c r="K440" s="742"/>
    </row>
    <row r="441" spans="4:11" s="739" customFormat="1" x14ac:dyDescent="0.2">
      <c r="D441" s="740"/>
      <c r="F441" s="741"/>
      <c r="G441" s="741"/>
      <c r="H441" s="741"/>
      <c r="I441" s="741"/>
      <c r="J441" s="741"/>
      <c r="K441" s="742"/>
    </row>
    <row r="442" spans="4:11" s="739" customFormat="1" x14ac:dyDescent="0.2">
      <c r="D442" s="740"/>
      <c r="F442" s="741"/>
      <c r="G442" s="741"/>
      <c r="H442" s="741"/>
      <c r="I442" s="741"/>
      <c r="J442" s="741"/>
      <c r="K442" s="742"/>
    </row>
    <row r="443" spans="4:11" s="739" customFormat="1" x14ac:dyDescent="0.2">
      <c r="D443" s="740"/>
      <c r="F443" s="741"/>
      <c r="G443" s="741"/>
      <c r="H443" s="741"/>
      <c r="I443" s="741"/>
      <c r="J443" s="741"/>
      <c r="K443" s="742"/>
    </row>
    <row r="444" spans="4:11" s="739" customFormat="1" x14ac:dyDescent="0.2">
      <c r="D444" s="740"/>
      <c r="F444" s="741"/>
      <c r="G444" s="741"/>
      <c r="H444" s="741"/>
      <c r="I444" s="741"/>
      <c r="J444" s="741"/>
      <c r="K444" s="742"/>
    </row>
    <row r="445" spans="4:11" s="739" customFormat="1" x14ac:dyDescent="0.2">
      <c r="D445" s="740"/>
      <c r="F445" s="741"/>
      <c r="G445" s="741"/>
      <c r="H445" s="741"/>
      <c r="I445" s="741"/>
      <c r="J445" s="741"/>
      <c r="K445" s="742"/>
    </row>
    <row r="446" spans="4:11" s="739" customFormat="1" x14ac:dyDescent="0.2">
      <c r="D446" s="740"/>
      <c r="F446" s="741"/>
      <c r="G446" s="741"/>
      <c r="H446" s="741"/>
      <c r="I446" s="741"/>
      <c r="J446" s="741"/>
      <c r="K446" s="742"/>
    </row>
    <row r="447" spans="4:11" s="739" customFormat="1" x14ac:dyDescent="0.2">
      <c r="D447" s="740"/>
      <c r="F447" s="741"/>
      <c r="G447" s="741"/>
      <c r="H447" s="741"/>
      <c r="I447" s="741"/>
      <c r="J447" s="741"/>
      <c r="K447" s="742"/>
    </row>
    <row r="448" spans="4:11" s="739" customFormat="1" x14ac:dyDescent="0.2">
      <c r="D448" s="740"/>
      <c r="F448" s="741"/>
      <c r="G448" s="741"/>
      <c r="H448" s="741"/>
      <c r="I448" s="741"/>
      <c r="J448" s="741"/>
      <c r="K448" s="742"/>
    </row>
    <row r="449" spans="4:11" s="739" customFormat="1" x14ac:dyDescent="0.2">
      <c r="D449" s="740"/>
      <c r="F449" s="741"/>
      <c r="G449" s="741"/>
      <c r="H449" s="741"/>
      <c r="I449" s="741"/>
      <c r="J449" s="741"/>
      <c r="K449" s="742"/>
    </row>
    <row r="450" spans="4:11" s="739" customFormat="1" x14ac:dyDescent="0.2">
      <c r="D450" s="740"/>
      <c r="F450" s="741"/>
      <c r="G450" s="741"/>
      <c r="H450" s="741"/>
      <c r="I450" s="741"/>
      <c r="J450" s="741"/>
      <c r="K450" s="742"/>
    </row>
    <row r="451" spans="4:11" s="739" customFormat="1" x14ac:dyDescent="0.2">
      <c r="D451" s="740"/>
      <c r="F451" s="741"/>
      <c r="G451" s="741"/>
      <c r="H451" s="741"/>
      <c r="I451" s="741"/>
      <c r="J451" s="741"/>
      <c r="K451" s="742"/>
    </row>
    <row r="452" spans="4:11" s="739" customFormat="1" x14ac:dyDescent="0.2">
      <c r="D452" s="740"/>
      <c r="F452" s="741"/>
      <c r="G452" s="741"/>
      <c r="H452" s="741"/>
      <c r="I452" s="741"/>
      <c r="J452" s="741"/>
      <c r="K452" s="742"/>
    </row>
    <row r="453" spans="4:11" s="739" customFormat="1" x14ac:dyDescent="0.2">
      <c r="D453" s="740"/>
      <c r="F453" s="741"/>
      <c r="G453" s="741"/>
      <c r="H453" s="741"/>
      <c r="I453" s="741"/>
      <c r="J453" s="741"/>
      <c r="K453" s="742"/>
    </row>
    <row r="454" spans="4:11" s="739" customFormat="1" x14ac:dyDescent="0.2">
      <c r="D454" s="740"/>
      <c r="F454" s="741"/>
      <c r="G454" s="741"/>
      <c r="H454" s="741"/>
      <c r="I454" s="741"/>
      <c r="J454" s="741"/>
      <c r="K454" s="742"/>
    </row>
    <row r="455" spans="4:11" s="739" customFormat="1" x14ac:dyDescent="0.2">
      <c r="D455" s="740"/>
      <c r="F455" s="741"/>
      <c r="G455" s="741"/>
      <c r="H455" s="741"/>
      <c r="I455" s="741"/>
      <c r="J455" s="741"/>
      <c r="K455" s="742"/>
    </row>
    <row r="456" spans="4:11" s="739" customFormat="1" x14ac:dyDescent="0.2">
      <c r="D456" s="740"/>
      <c r="F456" s="741"/>
      <c r="G456" s="741"/>
      <c r="H456" s="741"/>
      <c r="I456" s="741"/>
      <c r="J456" s="741"/>
      <c r="K456" s="742"/>
    </row>
    <row r="457" spans="4:11" s="739" customFormat="1" x14ac:dyDescent="0.2">
      <c r="D457" s="740"/>
      <c r="F457" s="741"/>
      <c r="G457" s="741"/>
      <c r="H457" s="741"/>
      <c r="I457" s="741"/>
      <c r="J457" s="741"/>
      <c r="K457" s="742"/>
    </row>
    <row r="458" spans="4:11" s="739" customFormat="1" x14ac:dyDescent="0.2">
      <c r="D458" s="740"/>
      <c r="F458" s="741"/>
      <c r="G458" s="741"/>
      <c r="H458" s="741"/>
      <c r="I458" s="741"/>
      <c r="J458" s="741"/>
      <c r="K458" s="742"/>
    </row>
    <row r="459" spans="4:11" s="739" customFormat="1" x14ac:dyDescent="0.2">
      <c r="D459" s="740"/>
      <c r="F459" s="741"/>
      <c r="G459" s="741"/>
      <c r="H459" s="741"/>
      <c r="I459" s="741"/>
      <c r="J459" s="741"/>
      <c r="K459" s="742"/>
    </row>
    <row r="460" spans="4:11" s="739" customFormat="1" x14ac:dyDescent="0.2">
      <c r="D460" s="740"/>
      <c r="F460" s="741"/>
      <c r="G460" s="741"/>
      <c r="H460" s="741"/>
      <c r="I460" s="741"/>
      <c r="J460" s="741"/>
      <c r="K460" s="742"/>
    </row>
    <row r="461" spans="4:11" s="739" customFormat="1" x14ac:dyDescent="0.2">
      <c r="D461" s="740"/>
      <c r="F461" s="741"/>
      <c r="G461" s="741"/>
      <c r="H461" s="741"/>
      <c r="I461" s="741"/>
      <c r="J461" s="741"/>
      <c r="K461" s="742"/>
    </row>
    <row r="462" spans="4:11" s="739" customFormat="1" x14ac:dyDescent="0.2">
      <c r="D462" s="740"/>
      <c r="F462" s="741"/>
      <c r="G462" s="741"/>
      <c r="H462" s="741"/>
      <c r="I462" s="741"/>
      <c r="J462" s="741"/>
      <c r="K462" s="742"/>
    </row>
    <row r="463" spans="4:11" s="739" customFormat="1" x14ac:dyDescent="0.2">
      <c r="D463" s="740"/>
      <c r="F463" s="741"/>
      <c r="G463" s="741"/>
      <c r="H463" s="741"/>
      <c r="I463" s="741"/>
      <c r="J463" s="741"/>
      <c r="K463" s="742"/>
    </row>
    <row r="464" spans="4:11" s="739" customFormat="1" x14ac:dyDescent="0.2">
      <c r="D464" s="740"/>
      <c r="F464" s="741"/>
      <c r="G464" s="741"/>
      <c r="H464" s="741"/>
      <c r="I464" s="741"/>
      <c r="J464" s="741"/>
      <c r="K464" s="742"/>
    </row>
    <row r="465" spans="4:11" s="739" customFormat="1" x14ac:dyDescent="0.2">
      <c r="D465" s="740"/>
      <c r="F465" s="741"/>
      <c r="G465" s="741"/>
      <c r="H465" s="741"/>
      <c r="I465" s="741"/>
      <c r="J465" s="741"/>
      <c r="K465" s="742"/>
    </row>
    <row r="466" spans="4:11" s="739" customFormat="1" x14ac:dyDescent="0.2">
      <c r="D466" s="740"/>
      <c r="F466" s="741"/>
      <c r="G466" s="741"/>
      <c r="H466" s="741"/>
      <c r="I466" s="741"/>
      <c r="J466" s="741"/>
      <c r="K466" s="742"/>
    </row>
    <row r="467" spans="4:11" s="739" customFormat="1" x14ac:dyDescent="0.2">
      <c r="D467" s="740"/>
      <c r="F467" s="741"/>
      <c r="G467" s="741"/>
      <c r="H467" s="741"/>
      <c r="I467" s="741"/>
      <c r="J467" s="741"/>
      <c r="K467" s="742"/>
    </row>
    <row r="468" spans="4:11" s="739" customFormat="1" x14ac:dyDescent="0.2">
      <c r="D468" s="740"/>
      <c r="F468" s="741"/>
      <c r="G468" s="741"/>
      <c r="H468" s="741"/>
      <c r="I468" s="741"/>
      <c r="J468" s="741"/>
      <c r="K468" s="742"/>
    </row>
    <row r="469" spans="4:11" s="739" customFormat="1" x14ac:dyDescent="0.2">
      <c r="D469" s="740"/>
      <c r="F469" s="741"/>
      <c r="G469" s="741"/>
      <c r="H469" s="741"/>
      <c r="I469" s="741"/>
      <c r="J469" s="741"/>
      <c r="K469" s="742"/>
    </row>
    <row r="470" spans="4:11" s="739" customFormat="1" x14ac:dyDescent="0.2">
      <c r="D470" s="740"/>
      <c r="F470" s="741"/>
      <c r="G470" s="741"/>
      <c r="H470" s="741"/>
      <c r="I470" s="741"/>
      <c r="J470" s="741"/>
      <c r="K470" s="742"/>
    </row>
    <row r="471" spans="4:11" s="739" customFormat="1" x14ac:dyDescent="0.2">
      <c r="D471" s="740"/>
      <c r="F471" s="741"/>
      <c r="G471" s="741"/>
      <c r="H471" s="741"/>
      <c r="I471" s="741"/>
      <c r="J471" s="741"/>
      <c r="K471" s="742"/>
    </row>
    <row r="472" spans="4:11" s="739" customFormat="1" x14ac:dyDescent="0.2">
      <c r="D472" s="740"/>
      <c r="F472" s="741"/>
      <c r="G472" s="741"/>
      <c r="H472" s="741"/>
      <c r="I472" s="741"/>
      <c r="J472" s="741"/>
      <c r="K472" s="742"/>
    </row>
    <row r="473" spans="4:11" s="739" customFormat="1" x14ac:dyDescent="0.2">
      <c r="D473" s="740"/>
      <c r="F473" s="741"/>
      <c r="G473" s="741"/>
      <c r="H473" s="741"/>
      <c r="I473" s="741"/>
      <c r="J473" s="741"/>
      <c r="K473" s="742"/>
    </row>
    <row r="474" spans="4:11" s="739" customFormat="1" x14ac:dyDescent="0.2">
      <c r="D474" s="740"/>
      <c r="F474" s="741"/>
      <c r="G474" s="741"/>
      <c r="H474" s="741"/>
      <c r="I474" s="741"/>
      <c r="J474" s="741"/>
      <c r="K474" s="742"/>
    </row>
    <row r="475" spans="4:11" s="739" customFormat="1" x14ac:dyDescent="0.2">
      <c r="D475" s="740"/>
      <c r="F475" s="741"/>
      <c r="G475" s="741"/>
      <c r="H475" s="741"/>
      <c r="I475" s="741"/>
      <c r="J475" s="741"/>
      <c r="K475" s="742"/>
    </row>
    <row r="476" spans="4:11" s="739" customFormat="1" x14ac:dyDescent="0.2">
      <c r="D476" s="740"/>
      <c r="F476" s="741"/>
      <c r="G476" s="741"/>
      <c r="H476" s="741"/>
      <c r="I476" s="741"/>
      <c r="J476" s="741"/>
      <c r="K476" s="742"/>
    </row>
    <row r="477" spans="4:11" s="739" customFormat="1" x14ac:dyDescent="0.2">
      <c r="D477" s="740"/>
      <c r="F477" s="741"/>
      <c r="G477" s="741"/>
      <c r="H477" s="741"/>
      <c r="I477" s="741"/>
      <c r="J477" s="741"/>
      <c r="K477" s="742"/>
    </row>
    <row r="478" spans="4:11" s="739" customFormat="1" x14ac:dyDescent="0.2">
      <c r="D478" s="740"/>
      <c r="F478" s="741"/>
      <c r="G478" s="741"/>
      <c r="H478" s="741"/>
      <c r="I478" s="741"/>
      <c r="J478" s="741"/>
      <c r="K478" s="742"/>
    </row>
    <row r="479" spans="4:11" s="739" customFormat="1" x14ac:dyDescent="0.2">
      <c r="D479" s="740"/>
      <c r="F479" s="741"/>
      <c r="G479" s="741"/>
      <c r="H479" s="741"/>
      <c r="I479" s="741"/>
      <c r="J479" s="741"/>
      <c r="K479" s="742"/>
    </row>
    <row r="480" spans="4:11" s="739" customFormat="1" x14ac:dyDescent="0.2">
      <c r="D480" s="740"/>
      <c r="F480" s="741"/>
      <c r="G480" s="741"/>
      <c r="H480" s="741"/>
      <c r="I480" s="741"/>
      <c r="J480" s="741"/>
      <c r="K480" s="742"/>
    </row>
    <row r="481" spans="4:11" s="739" customFormat="1" x14ac:dyDescent="0.2">
      <c r="D481" s="740"/>
      <c r="F481" s="741"/>
      <c r="G481" s="741"/>
      <c r="H481" s="741"/>
      <c r="I481" s="741"/>
      <c r="J481" s="741"/>
      <c r="K481" s="742"/>
    </row>
    <row r="482" spans="4:11" s="739" customFormat="1" x14ac:dyDescent="0.2">
      <c r="D482" s="740"/>
      <c r="F482" s="741"/>
      <c r="G482" s="741"/>
      <c r="H482" s="741"/>
      <c r="I482" s="741"/>
      <c r="J482" s="741"/>
      <c r="K482" s="742"/>
    </row>
    <row r="483" spans="4:11" s="739" customFormat="1" x14ac:dyDescent="0.2">
      <c r="D483" s="740"/>
      <c r="F483" s="741"/>
      <c r="G483" s="741"/>
      <c r="H483" s="741"/>
      <c r="I483" s="741"/>
      <c r="J483" s="741"/>
      <c r="K483" s="742"/>
    </row>
    <row r="484" spans="4:11" s="739" customFormat="1" x14ac:dyDescent="0.2">
      <c r="D484" s="740"/>
      <c r="F484" s="741"/>
      <c r="G484" s="741"/>
      <c r="H484" s="741"/>
      <c r="I484" s="741"/>
      <c r="J484" s="741"/>
      <c r="K484" s="742"/>
    </row>
    <row r="485" spans="4:11" s="739" customFormat="1" x14ac:dyDescent="0.2">
      <c r="D485" s="740"/>
      <c r="F485" s="741"/>
      <c r="G485" s="741"/>
      <c r="H485" s="741"/>
      <c r="I485" s="741"/>
      <c r="J485" s="741"/>
      <c r="K485" s="742"/>
    </row>
    <row r="486" spans="4:11" s="739" customFormat="1" x14ac:dyDescent="0.2">
      <c r="D486" s="740"/>
      <c r="F486" s="741"/>
      <c r="G486" s="741"/>
      <c r="H486" s="741"/>
      <c r="I486" s="741"/>
      <c r="J486" s="741"/>
      <c r="K486" s="742"/>
    </row>
    <row r="487" spans="4:11" s="739" customFormat="1" x14ac:dyDescent="0.2">
      <c r="D487" s="740"/>
      <c r="F487" s="741"/>
      <c r="G487" s="741"/>
      <c r="H487" s="741"/>
      <c r="I487" s="741"/>
      <c r="J487" s="741"/>
      <c r="K487" s="742"/>
    </row>
    <row r="488" spans="4:11" s="739" customFormat="1" x14ac:dyDescent="0.2">
      <c r="D488" s="740"/>
      <c r="F488" s="741"/>
      <c r="G488" s="741"/>
      <c r="H488" s="741"/>
      <c r="I488" s="741"/>
      <c r="J488" s="741"/>
      <c r="K488" s="742"/>
    </row>
    <row r="489" spans="4:11" s="739" customFormat="1" x14ac:dyDescent="0.2">
      <c r="D489" s="740"/>
      <c r="F489" s="741"/>
      <c r="G489" s="741"/>
      <c r="H489" s="741"/>
      <c r="I489" s="741"/>
      <c r="J489" s="741"/>
      <c r="K489" s="742"/>
    </row>
    <row r="490" spans="4:11" s="739" customFormat="1" x14ac:dyDescent="0.2">
      <c r="D490" s="740"/>
      <c r="F490" s="741"/>
      <c r="G490" s="741"/>
      <c r="H490" s="741"/>
      <c r="I490" s="741"/>
      <c r="J490" s="741"/>
      <c r="K490" s="742"/>
    </row>
    <row r="491" spans="4:11" s="739" customFormat="1" x14ac:dyDescent="0.2">
      <c r="D491" s="740"/>
      <c r="F491" s="741"/>
      <c r="G491" s="741"/>
      <c r="H491" s="741"/>
      <c r="I491" s="741"/>
      <c r="J491" s="741"/>
      <c r="K491" s="742"/>
    </row>
    <row r="492" spans="4:11" s="739" customFormat="1" x14ac:dyDescent="0.2">
      <c r="D492" s="740"/>
      <c r="F492" s="741"/>
      <c r="G492" s="741"/>
      <c r="H492" s="741"/>
      <c r="I492" s="741"/>
      <c r="J492" s="741"/>
      <c r="K492" s="742"/>
    </row>
    <row r="493" spans="4:11" s="739" customFormat="1" x14ac:dyDescent="0.2">
      <c r="D493" s="740"/>
      <c r="F493" s="741"/>
      <c r="G493" s="741"/>
      <c r="H493" s="741"/>
      <c r="I493" s="741"/>
      <c r="J493" s="741"/>
      <c r="K493" s="742"/>
    </row>
    <row r="494" spans="4:11" s="739" customFormat="1" x14ac:dyDescent="0.2">
      <c r="D494" s="740"/>
      <c r="F494" s="741"/>
      <c r="G494" s="741"/>
      <c r="H494" s="741"/>
      <c r="I494" s="741"/>
      <c r="J494" s="741"/>
      <c r="K494" s="742"/>
    </row>
    <row r="495" spans="4:11" s="739" customFormat="1" x14ac:dyDescent="0.2">
      <c r="D495" s="740"/>
      <c r="F495" s="741"/>
      <c r="G495" s="741"/>
      <c r="H495" s="741"/>
      <c r="I495" s="741"/>
      <c r="J495" s="741"/>
      <c r="K495" s="742"/>
    </row>
    <row r="496" spans="4:11" s="739" customFormat="1" x14ac:dyDescent="0.2">
      <c r="D496" s="740"/>
      <c r="F496" s="741"/>
      <c r="G496" s="741"/>
      <c r="H496" s="741"/>
      <c r="I496" s="741"/>
      <c r="J496" s="741"/>
      <c r="K496" s="742"/>
    </row>
    <row r="497" spans="4:11" s="739" customFormat="1" x14ac:dyDescent="0.2">
      <c r="D497" s="740"/>
      <c r="F497" s="741"/>
      <c r="G497" s="741"/>
      <c r="H497" s="741"/>
      <c r="I497" s="741"/>
      <c r="J497" s="741"/>
      <c r="K497" s="742"/>
    </row>
    <row r="498" spans="4:11" s="739" customFormat="1" x14ac:dyDescent="0.2">
      <c r="D498" s="740"/>
      <c r="F498" s="741"/>
      <c r="G498" s="741"/>
      <c r="H498" s="741"/>
      <c r="I498" s="741"/>
      <c r="J498" s="741"/>
      <c r="K498" s="742"/>
    </row>
    <row r="499" spans="4:11" s="739" customFormat="1" x14ac:dyDescent="0.2">
      <c r="D499" s="740"/>
      <c r="F499" s="741"/>
      <c r="G499" s="741"/>
      <c r="H499" s="741"/>
      <c r="I499" s="741"/>
      <c r="J499" s="741"/>
      <c r="K499" s="742"/>
    </row>
    <row r="500" spans="4:11" s="739" customFormat="1" x14ac:dyDescent="0.2">
      <c r="D500" s="740"/>
      <c r="F500" s="741"/>
      <c r="G500" s="741"/>
      <c r="H500" s="741"/>
      <c r="I500" s="741"/>
      <c r="J500" s="741"/>
      <c r="K500" s="742"/>
    </row>
    <row r="501" spans="4:11" s="739" customFormat="1" x14ac:dyDescent="0.2">
      <c r="D501" s="740"/>
      <c r="F501" s="741"/>
      <c r="G501" s="741"/>
      <c r="H501" s="741"/>
      <c r="I501" s="741"/>
      <c r="J501" s="741"/>
      <c r="K501" s="742"/>
    </row>
    <row r="502" spans="4:11" s="739" customFormat="1" x14ac:dyDescent="0.2">
      <c r="D502" s="740"/>
      <c r="F502" s="741"/>
      <c r="G502" s="741"/>
      <c r="H502" s="741"/>
      <c r="I502" s="741"/>
      <c r="J502" s="741"/>
      <c r="K502" s="742"/>
    </row>
    <row r="503" spans="4:11" s="739" customFormat="1" x14ac:dyDescent="0.2">
      <c r="D503" s="740"/>
      <c r="F503" s="741"/>
      <c r="G503" s="741"/>
      <c r="H503" s="741"/>
      <c r="I503" s="741"/>
      <c r="J503" s="741"/>
      <c r="K503" s="742"/>
    </row>
    <row r="504" spans="4:11" s="739" customFormat="1" x14ac:dyDescent="0.2">
      <c r="D504" s="740"/>
      <c r="F504" s="741"/>
      <c r="G504" s="741"/>
      <c r="H504" s="741"/>
      <c r="I504" s="741"/>
      <c r="J504" s="741"/>
      <c r="K504" s="742"/>
    </row>
    <row r="505" spans="4:11" s="739" customFormat="1" x14ac:dyDescent="0.2">
      <c r="D505" s="740"/>
      <c r="F505" s="741"/>
      <c r="G505" s="741"/>
      <c r="H505" s="741"/>
      <c r="I505" s="741"/>
      <c r="J505" s="741"/>
      <c r="K505" s="742"/>
    </row>
    <row r="506" spans="4:11" s="739" customFormat="1" x14ac:dyDescent="0.2">
      <c r="D506" s="740"/>
      <c r="F506" s="741"/>
      <c r="G506" s="741"/>
      <c r="H506" s="741"/>
      <c r="I506" s="741"/>
      <c r="J506" s="741"/>
      <c r="K506" s="742"/>
    </row>
    <row r="507" spans="4:11" s="739" customFormat="1" x14ac:dyDescent="0.2">
      <c r="D507" s="740"/>
      <c r="F507" s="741"/>
      <c r="G507" s="741"/>
      <c r="H507" s="741"/>
      <c r="I507" s="741"/>
      <c r="J507" s="741"/>
      <c r="K507" s="742"/>
    </row>
    <row r="508" spans="4:11" s="739" customFormat="1" x14ac:dyDescent="0.2">
      <c r="D508" s="740"/>
      <c r="F508" s="741"/>
      <c r="G508" s="741"/>
      <c r="H508" s="741"/>
      <c r="I508" s="741"/>
      <c r="J508" s="741"/>
      <c r="K508" s="742"/>
    </row>
    <row r="509" spans="4:11" s="739" customFormat="1" x14ac:dyDescent="0.2">
      <c r="D509" s="740"/>
      <c r="F509" s="741"/>
      <c r="G509" s="741"/>
      <c r="H509" s="741"/>
      <c r="I509" s="741"/>
      <c r="J509" s="741"/>
      <c r="K509" s="742"/>
    </row>
    <row r="510" spans="4:11" s="739" customFormat="1" x14ac:dyDescent="0.2">
      <c r="D510" s="740"/>
      <c r="F510" s="741"/>
      <c r="G510" s="741"/>
      <c r="H510" s="741"/>
      <c r="I510" s="741"/>
      <c r="J510" s="741"/>
      <c r="K510" s="742"/>
    </row>
    <row r="511" spans="4:11" s="739" customFormat="1" x14ac:dyDescent="0.2">
      <c r="D511" s="740"/>
      <c r="F511" s="741"/>
      <c r="G511" s="741"/>
      <c r="H511" s="741"/>
      <c r="I511" s="741"/>
      <c r="J511" s="741"/>
      <c r="K511" s="742"/>
    </row>
    <row r="512" spans="4:11" s="739" customFormat="1" x14ac:dyDescent="0.2">
      <c r="D512" s="740"/>
      <c r="F512" s="741"/>
      <c r="G512" s="741"/>
      <c r="H512" s="741"/>
      <c r="I512" s="741"/>
      <c r="J512" s="741"/>
      <c r="K512" s="742"/>
    </row>
    <row r="513" spans="4:11" s="739" customFormat="1" x14ac:dyDescent="0.2">
      <c r="D513" s="740"/>
      <c r="F513" s="741"/>
      <c r="G513" s="741"/>
      <c r="H513" s="741"/>
      <c r="I513" s="741"/>
      <c r="J513" s="741"/>
      <c r="K513" s="742"/>
    </row>
    <row r="514" spans="4:11" s="739" customFormat="1" x14ac:dyDescent="0.2">
      <c r="D514" s="740"/>
      <c r="F514" s="741"/>
      <c r="G514" s="741"/>
      <c r="H514" s="741"/>
      <c r="I514" s="741"/>
      <c r="J514" s="741"/>
      <c r="K514" s="742"/>
    </row>
    <row r="515" spans="4:11" s="739" customFormat="1" x14ac:dyDescent="0.2">
      <c r="D515" s="740"/>
      <c r="F515" s="741"/>
      <c r="G515" s="741"/>
      <c r="H515" s="741"/>
      <c r="I515" s="741"/>
      <c r="J515" s="741"/>
      <c r="K515" s="742"/>
    </row>
    <row r="516" spans="4:11" s="739" customFormat="1" x14ac:dyDescent="0.2">
      <c r="D516" s="740"/>
      <c r="F516" s="741"/>
      <c r="G516" s="741"/>
      <c r="H516" s="741"/>
      <c r="I516" s="741"/>
      <c r="J516" s="741"/>
      <c r="K516" s="742"/>
    </row>
    <row r="517" spans="4:11" s="739" customFormat="1" x14ac:dyDescent="0.2">
      <c r="D517" s="740"/>
      <c r="F517" s="741"/>
      <c r="G517" s="741"/>
      <c r="H517" s="741"/>
      <c r="I517" s="741"/>
      <c r="J517" s="741"/>
      <c r="K517" s="742"/>
    </row>
    <row r="518" spans="4:11" s="739" customFormat="1" x14ac:dyDescent="0.2">
      <c r="D518" s="740"/>
      <c r="F518" s="741"/>
      <c r="G518" s="741"/>
      <c r="H518" s="741"/>
      <c r="I518" s="741"/>
      <c r="J518" s="741"/>
      <c r="K518" s="742"/>
    </row>
    <row r="519" spans="4:11" s="739" customFormat="1" x14ac:dyDescent="0.2">
      <c r="D519" s="740"/>
      <c r="F519" s="741"/>
      <c r="G519" s="741"/>
      <c r="H519" s="741"/>
      <c r="I519" s="741"/>
      <c r="J519" s="741"/>
      <c r="K519" s="742"/>
    </row>
    <row r="520" spans="4:11" s="739" customFormat="1" x14ac:dyDescent="0.2">
      <c r="D520" s="740"/>
      <c r="F520" s="741"/>
      <c r="G520" s="741"/>
      <c r="H520" s="741"/>
      <c r="I520" s="741"/>
      <c r="J520" s="741"/>
      <c r="K520" s="742"/>
    </row>
    <row r="521" spans="4:11" s="739" customFormat="1" x14ac:dyDescent="0.2">
      <c r="D521" s="740"/>
      <c r="F521" s="741"/>
      <c r="G521" s="741"/>
      <c r="H521" s="741"/>
      <c r="I521" s="741"/>
      <c r="J521" s="741"/>
      <c r="K521" s="742"/>
    </row>
    <row r="522" spans="4:11" s="739" customFormat="1" x14ac:dyDescent="0.2">
      <c r="D522" s="740"/>
      <c r="F522" s="741"/>
      <c r="G522" s="741"/>
      <c r="H522" s="741"/>
      <c r="I522" s="741"/>
      <c r="J522" s="741"/>
      <c r="K522" s="742"/>
    </row>
    <row r="523" spans="4:11" s="739" customFormat="1" x14ac:dyDescent="0.2">
      <c r="D523" s="740"/>
      <c r="F523" s="741"/>
      <c r="G523" s="741"/>
      <c r="H523" s="741"/>
      <c r="I523" s="741"/>
      <c r="J523" s="741"/>
      <c r="K523" s="742"/>
    </row>
    <row r="524" spans="4:11" s="739" customFormat="1" x14ac:dyDescent="0.2">
      <c r="D524" s="740"/>
      <c r="F524" s="741"/>
      <c r="G524" s="741"/>
      <c r="H524" s="741"/>
      <c r="I524" s="741"/>
      <c r="J524" s="741"/>
      <c r="K524" s="742"/>
    </row>
    <row r="525" spans="4:11" s="739" customFormat="1" x14ac:dyDescent="0.2">
      <c r="D525" s="740"/>
      <c r="F525" s="741"/>
      <c r="G525" s="741"/>
      <c r="H525" s="741"/>
      <c r="I525" s="741"/>
      <c r="J525" s="741"/>
      <c r="K525" s="742"/>
    </row>
    <row r="526" spans="4:11" s="739" customFormat="1" x14ac:dyDescent="0.2">
      <c r="D526" s="740"/>
      <c r="F526" s="741"/>
      <c r="G526" s="741"/>
      <c r="H526" s="741"/>
      <c r="I526" s="741"/>
      <c r="J526" s="741"/>
      <c r="K526" s="742"/>
    </row>
    <row r="527" spans="4:11" s="739" customFormat="1" x14ac:dyDescent="0.2">
      <c r="D527" s="740"/>
      <c r="F527" s="741"/>
      <c r="G527" s="741"/>
      <c r="H527" s="741"/>
      <c r="I527" s="741"/>
      <c r="J527" s="741"/>
      <c r="K527" s="742"/>
    </row>
    <row r="528" spans="4:11" s="739" customFormat="1" x14ac:dyDescent="0.2">
      <c r="D528" s="740"/>
      <c r="F528" s="741"/>
      <c r="G528" s="741"/>
      <c r="H528" s="741"/>
      <c r="I528" s="741"/>
      <c r="J528" s="741"/>
      <c r="K528" s="742"/>
    </row>
    <row r="529" spans="4:11" s="739" customFormat="1" x14ac:dyDescent="0.2">
      <c r="D529" s="740"/>
      <c r="F529" s="741"/>
      <c r="G529" s="741"/>
      <c r="H529" s="741"/>
      <c r="I529" s="741"/>
      <c r="J529" s="741"/>
      <c r="K529" s="742"/>
    </row>
    <row r="530" spans="4:11" s="739" customFormat="1" x14ac:dyDescent="0.2">
      <c r="D530" s="740"/>
      <c r="F530" s="741"/>
      <c r="G530" s="741"/>
      <c r="H530" s="741"/>
      <c r="I530" s="741"/>
      <c r="J530" s="741"/>
      <c r="K530" s="742"/>
    </row>
    <row r="531" spans="4:11" s="739" customFormat="1" x14ac:dyDescent="0.2">
      <c r="D531" s="740"/>
      <c r="F531" s="741"/>
      <c r="G531" s="741"/>
      <c r="H531" s="741"/>
      <c r="I531" s="741"/>
      <c r="J531" s="741"/>
      <c r="K531" s="742"/>
    </row>
    <row r="532" spans="4:11" s="739" customFormat="1" x14ac:dyDescent="0.2">
      <c r="D532" s="740"/>
      <c r="F532" s="741"/>
      <c r="G532" s="741"/>
      <c r="H532" s="741"/>
      <c r="I532" s="741"/>
      <c r="J532" s="741"/>
      <c r="K532" s="742"/>
    </row>
    <row r="533" spans="4:11" s="739" customFormat="1" x14ac:dyDescent="0.2">
      <c r="D533" s="740"/>
      <c r="F533" s="741"/>
      <c r="G533" s="741"/>
      <c r="H533" s="741"/>
      <c r="I533" s="741"/>
      <c r="J533" s="741"/>
      <c r="K533" s="742"/>
    </row>
    <row r="534" spans="4:11" s="739" customFormat="1" x14ac:dyDescent="0.2">
      <c r="D534" s="740"/>
      <c r="F534" s="741"/>
      <c r="G534" s="741"/>
      <c r="H534" s="741"/>
      <c r="I534" s="741"/>
      <c r="J534" s="741"/>
      <c r="K534" s="742"/>
    </row>
    <row r="535" spans="4:11" s="739" customFormat="1" x14ac:dyDescent="0.2">
      <c r="D535" s="740"/>
      <c r="F535" s="741"/>
      <c r="G535" s="741"/>
      <c r="H535" s="741"/>
      <c r="I535" s="741"/>
      <c r="J535" s="741"/>
      <c r="K535" s="742"/>
    </row>
    <row r="536" spans="4:11" s="739" customFormat="1" x14ac:dyDescent="0.2">
      <c r="D536" s="740"/>
      <c r="F536" s="741"/>
      <c r="G536" s="741"/>
      <c r="H536" s="741"/>
      <c r="I536" s="741"/>
      <c r="J536" s="741"/>
      <c r="K536" s="742"/>
    </row>
    <row r="537" spans="4:11" s="739" customFormat="1" x14ac:dyDescent="0.2">
      <c r="D537" s="740"/>
      <c r="F537" s="741"/>
      <c r="G537" s="741"/>
      <c r="H537" s="741"/>
      <c r="I537" s="741"/>
      <c r="J537" s="741"/>
      <c r="K537" s="742"/>
    </row>
    <row r="538" spans="4:11" s="739" customFormat="1" x14ac:dyDescent="0.2">
      <c r="D538" s="740"/>
      <c r="F538" s="741"/>
      <c r="G538" s="741"/>
      <c r="H538" s="741"/>
      <c r="I538" s="741"/>
      <c r="J538" s="741"/>
      <c r="K538" s="742"/>
    </row>
    <row r="539" spans="4:11" s="739" customFormat="1" x14ac:dyDescent="0.2">
      <c r="D539" s="740"/>
      <c r="F539" s="741"/>
      <c r="G539" s="741"/>
      <c r="H539" s="741"/>
      <c r="I539" s="741"/>
      <c r="J539" s="741"/>
      <c r="K539" s="742"/>
    </row>
    <row r="540" spans="4:11" s="739" customFormat="1" x14ac:dyDescent="0.2">
      <c r="D540" s="740"/>
      <c r="F540" s="741"/>
      <c r="G540" s="741"/>
      <c r="H540" s="741"/>
      <c r="I540" s="741"/>
      <c r="J540" s="741"/>
      <c r="K540" s="742"/>
    </row>
    <row r="541" spans="4:11" s="739" customFormat="1" x14ac:dyDescent="0.2">
      <c r="D541" s="740"/>
      <c r="F541" s="741"/>
      <c r="G541" s="741"/>
      <c r="H541" s="741"/>
      <c r="I541" s="741"/>
      <c r="J541" s="741"/>
      <c r="K541" s="742"/>
    </row>
    <row r="542" spans="4:11" s="739" customFormat="1" x14ac:dyDescent="0.2">
      <c r="D542" s="740"/>
      <c r="F542" s="741"/>
      <c r="G542" s="741"/>
      <c r="H542" s="741"/>
      <c r="I542" s="741"/>
      <c r="J542" s="741"/>
      <c r="K542" s="742"/>
    </row>
    <row r="543" spans="4:11" s="739" customFormat="1" x14ac:dyDescent="0.2">
      <c r="D543" s="740"/>
      <c r="F543" s="741"/>
      <c r="G543" s="741"/>
      <c r="H543" s="741"/>
      <c r="I543" s="741"/>
      <c r="J543" s="741"/>
      <c r="K543" s="742"/>
    </row>
    <row r="544" spans="4:11" s="739" customFormat="1" x14ac:dyDescent="0.2">
      <c r="D544" s="740"/>
      <c r="F544" s="741"/>
      <c r="G544" s="741"/>
      <c r="H544" s="741"/>
      <c r="I544" s="741"/>
      <c r="J544" s="741"/>
      <c r="K544" s="742"/>
    </row>
    <row r="545" spans="4:11" s="739" customFormat="1" x14ac:dyDescent="0.2">
      <c r="D545" s="740"/>
      <c r="F545" s="741"/>
      <c r="G545" s="741"/>
      <c r="H545" s="741"/>
      <c r="I545" s="741"/>
      <c r="J545" s="741"/>
      <c r="K545" s="742"/>
    </row>
    <row r="546" spans="4:11" s="739" customFormat="1" x14ac:dyDescent="0.2">
      <c r="D546" s="740"/>
      <c r="F546" s="741"/>
      <c r="G546" s="741"/>
      <c r="H546" s="741"/>
      <c r="I546" s="741"/>
      <c r="J546" s="741"/>
      <c r="K546" s="742"/>
    </row>
    <row r="547" spans="4:11" s="739" customFormat="1" x14ac:dyDescent="0.2">
      <c r="D547" s="740"/>
      <c r="F547" s="741"/>
      <c r="G547" s="741"/>
      <c r="H547" s="741"/>
      <c r="I547" s="741"/>
      <c r="J547" s="741"/>
      <c r="K547" s="742"/>
    </row>
    <row r="548" spans="4:11" s="739" customFormat="1" x14ac:dyDescent="0.2">
      <c r="D548" s="740"/>
      <c r="F548" s="741"/>
      <c r="G548" s="741"/>
      <c r="H548" s="741"/>
      <c r="I548" s="741"/>
      <c r="J548" s="741"/>
      <c r="K548" s="742"/>
    </row>
    <row r="549" spans="4:11" s="739" customFormat="1" x14ac:dyDescent="0.2">
      <c r="D549" s="740"/>
      <c r="F549" s="741"/>
      <c r="G549" s="741"/>
      <c r="H549" s="741"/>
      <c r="I549" s="741"/>
      <c r="J549" s="741"/>
      <c r="K549" s="742"/>
    </row>
    <row r="550" spans="4:11" s="739" customFormat="1" x14ac:dyDescent="0.2">
      <c r="D550" s="740"/>
      <c r="F550" s="741"/>
      <c r="G550" s="741"/>
      <c r="H550" s="741"/>
      <c r="I550" s="741"/>
      <c r="J550" s="741"/>
      <c r="K550" s="742"/>
    </row>
    <row r="551" spans="4:11" s="739" customFormat="1" x14ac:dyDescent="0.2">
      <c r="D551" s="740"/>
      <c r="F551" s="741"/>
      <c r="G551" s="741"/>
      <c r="H551" s="741"/>
      <c r="I551" s="741"/>
      <c r="J551" s="741"/>
      <c r="K551" s="742"/>
    </row>
    <row r="552" spans="4:11" s="739" customFormat="1" x14ac:dyDescent="0.2">
      <c r="D552" s="740"/>
      <c r="F552" s="741"/>
      <c r="G552" s="741"/>
      <c r="H552" s="741"/>
      <c r="I552" s="741"/>
      <c r="J552" s="741"/>
      <c r="K552" s="742"/>
    </row>
    <row r="553" spans="4:11" s="739" customFormat="1" x14ac:dyDescent="0.2">
      <c r="D553" s="740"/>
      <c r="F553" s="741"/>
      <c r="G553" s="741"/>
      <c r="H553" s="741"/>
      <c r="I553" s="741"/>
      <c r="J553" s="741"/>
      <c r="K553" s="742"/>
    </row>
    <row r="554" spans="4:11" s="739" customFormat="1" x14ac:dyDescent="0.2">
      <c r="D554" s="740"/>
      <c r="F554" s="741"/>
      <c r="G554" s="741"/>
      <c r="H554" s="741"/>
      <c r="I554" s="741"/>
      <c r="J554" s="741"/>
      <c r="K554" s="742"/>
    </row>
    <row r="555" spans="4:11" s="739" customFormat="1" x14ac:dyDescent="0.2">
      <c r="D555" s="740"/>
      <c r="F555" s="741"/>
      <c r="G555" s="741"/>
      <c r="H555" s="741"/>
      <c r="I555" s="741"/>
      <c r="J555" s="741"/>
      <c r="K555" s="742"/>
    </row>
    <row r="556" spans="4:11" s="739" customFormat="1" x14ac:dyDescent="0.2">
      <c r="D556" s="740"/>
      <c r="F556" s="741"/>
      <c r="G556" s="741"/>
      <c r="H556" s="741"/>
      <c r="I556" s="741"/>
      <c r="J556" s="741"/>
      <c r="K556" s="742"/>
    </row>
    <row r="557" spans="4:11" s="739" customFormat="1" x14ac:dyDescent="0.2">
      <c r="D557" s="740"/>
      <c r="F557" s="741"/>
      <c r="G557" s="741"/>
      <c r="H557" s="741"/>
      <c r="I557" s="741"/>
      <c r="J557" s="741"/>
      <c r="K557" s="742"/>
    </row>
    <row r="558" spans="4:11" s="739" customFormat="1" x14ac:dyDescent="0.2">
      <c r="D558" s="740"/>
      <c r="F558" s="741"/>
      <c r="G558" s="741"/>
      <c r="H558" s="741"/>
      <c r="I558" s="741"/>
      <c r="J558" s="741"/>
      <c r="K558" s="742"/>
    </row>
    <row r="559" spans="4:11" s="739" customFormat="1" x14ac:dyDescent="0.2">
      <c r="D559" s="740"/>
      <c r="F559" s="741"/>
      <c r="G559" s="741"/>
      <c r="H559" s="741"/>
      <c r="I559" s="741"/>
      <c r="J559" s="741"/>
      <c r="K559" s="742"/>
    </row>
    <row r="560" spans="4:11" s="739" customFormat="1" x14ac:dyDescent="0.2">
      <c r="D560" s="740"/>
      <c r="F560" s="741"/>
      <c r="G560" s="741"/>
      <c r="H560" s="741"/>
      <c r="I560" s="741"/>
      <c r="J560" s="741"/>
      <c r="K560" s="742"/>
    </row>
    <row r="561" spans="4:11" s="739" customFormat="1" x14ac:dyDescent="0.2">
      <c r="D561" s="740"/>
      <c r="F561" s="741"/>
      <c r="G561" s="741"/>
      <c r="H561" s="741"/>
      <c r="I561" s="741"/>
      <c r="J561" s="741"/>
      <c r="K561" s="742"/>
    </row>
    <row r="562" spans="4:11" s="739" customFormat="1" x14ac:dyDescent="0.2">
      <c r="D562" s="740"/>
      <c r="F562" s="741"/>
      <c r="G562" s="741"/>
      <c r="H562" s="741"/>
      <c r="I562" s="741"/>
      <c r="J562" s="741"/>
      <c r="K562" s="742"/>
    </row>
    <row r="563" spans="4:11" s="739" customFormat="1" x14ac:dyDescent="0.2">
      <c r="D563" s="740"/>
      <c r="F563" s="741"/>
      <c r="G563" s="741"/>
      <c r="H563" s="741"/>
      <c r="I563" s="741"/>
      <c r="J563" s="741"/>
      <c r="K563" s="742"/>
    </row>
    <row r="564" spans="4:11" s="739" customFormat="1" x14ac:dyDescent="0.2">
      <c r="D564" s="740"/>
      <c r="F564" s="741"/>
      <c r="G564" s="741"/>
      <c r="H564" s="741"/>
      <c r="I564" s="741"/>
      <c r="J564" s="741"/>
      <c r="K564" s="742"/>
    </row>
    <row r="565" spans="4:11" s="739" customFormat="1" x14ac:dyDescent="0.2">
      <c r="D565" s="740"/>
      <c r="F565" s="741"/>
      <c r="G565" s="741"/>
      <c r="H565" s="741"/>
      <c r="I565" s="741"/>
      <c r="J565" s="741"/>
      <c r="K565" s="742"/>
    </row>
    <row r="566" spans="4:11" s="739" customFormat="1" x14ac:dyDescent="0.2">
      <c r="D566" s="740"/>
      <c r="F566" s="741"/>
      <c r="G566" s="741"/>
      <c r="H566" s="741"/>
      <c r="I566" s="741"/>
      <c r="J566" s="741"/>
      <c r="K566" s="742"/>
    </row>
    <row r="567" spans="4:11" s="739" customFormat="1" x14ac:dyDescent="0.2">
      <c r="D567" s="740"/>
      <c r="F567" s="741"/>
      <c r="G567" s="741"/>
      <c r="H567" s="741"/>
      <c r="I567" s="741"/>
      <c r="J567" s="741"/>
      <c r="K567" s="742"/>
    </row>
    <row r="568" spans="4:11" s="739" customFormat="1" x14ac:dyDescent="0.2">
      <c r="D568" s="740"/>
      <c r="F568" s="741"/>
      <c r="G568" s="741"/>
      <c r="H568" s="741"/>
      <c r="I568" s="741"/>
      <c r="J568" s="741"/>
      <c r="K568" s="742"/>
    </row>
    <row r="569" spans="4:11" s="739" customFormat="1" x14ac:dyDescent="0.2">
      <c r="D569" s="740"/>
      <c r="F569" s="741"/>
      <c r="G569" s="741"/>
      <c r="H569" s="741"/>
      <c r="I569" s="741"/>
      <c r="J569" s="741"/>
      <c r="K569" s="742"/>
    </row>
    <row r="570" spans="4:11" s="739" customFormat="1" x14ac:dyDescent="0.2">
      <c r="D570" s="740"/>
      <c r="F570" s="741"/>
      <c r="G570" s="741"/>
      <c r="H570" s="741"/>
      <c r="I570" s="741"/>
      <c r="J570" s="741"/>
      <c r="K570" s="742"/>
    </row>
    <row r="571" spans="4:11" s="739" customFormat="1" x14ac:dyDescent="0.2">
      <c r="D571" s="740"/>
      <c r="F571" s="741"/>
      <c r="G571" s="741"/>
      <c r="H571" s="741"/>
      <c r="I571" s="741"/>
      <c r="J571" s="741"/>
      <c r="K571" s="742"/>
    </row>
    <row r="572" spans="4:11" s="739" customFormat="1" x14ac:dyDescent="0.2">
      <c r="D572" s="740"/>
      <c r="F572" s="741"/>
      <c r="G572" s="741"/>
      <c r="H572" s="741"/>
      <c r="I572" s="741"/>
      <c r="J572" s="741"/>
      <c r="K572" s="742"/>
    </row>
    <row r="573" spans="4:11" s="739" customFormat="1" x14ac:dyDescent="0.2">
      <c r="D573" s="740"/>
      <c r="F573" s="741"/>
      <c r="G573" s="741"/>
      <c r="H573" s="741"/>
      <c r="I573" s="741"/>
      <c r="J573" s="741"/>
      <c r="K573" s="742"/>
    </row>
    <row r="574" spans="4:11" s="739" customFormat="1" x14ac:dyDescent="0.2">
      <c r="D574" s="740"/>
      <c r="F574" s="741"/>
      <c r="G574" s="741"/>
      <c r="H574" s="741"/>
      <c r="I574" s="741"/>
      <c r="J574" s="741"/>
      <c r="K574" s="742"/>
    </row>
    <row r="575" spans="4:11" s="739" customFormat="1" x14ac:dyDescent="0.2">
      <c r="D575" s="740"/>
      <c r="F575" s="741"/>
      <c r="G575" s="741"/>
      <c r="H575" s="741"/>
      <c r="I575" s="741"/>
      <c r="J575" s="741"/>
      <c r="K575" s="742"/>
    </row>
    <row r="576" spans="4:11" s="739" customFormat="1" x14ac:dyDescent="0.2">
      <c r="D576" s="740"/>
      <c r="F576" s="741"/>
      <c r="G576" s="741"/>
      <c r="H576" s="741"/>
      <c r="I576" s="741"/>
      <c r="J576" s="741"/>
      <c r="K576" s="742"/>
    </row>
    <row r="577" spans="4:11" s="739" customFormat="1" x14ac:dyDescent="0.2">
      <c r="D577" s="740"/>
      <c r="F577" s="741"/>
      <c r="G577" s="741"/>
      <c r="H577" s="741"/>
      <c r="I577" s="741"/>
      <c r="J577" s="741"/>
      <c r="K577" s="742"/>
    </row>
    <row r="578" spans="4:11" s="739" customFormat="1" x14ac:dyDescent="0.2">
      <c r="D578" s="740"/>
      <c r="F578" s="741"/>
      <c r="G578" s="741"/>
      <c r="H578" s="741"/>
      <c r="I578" s="741"/>
      <c r="J578" s="741"/>
      <c r="K578" s="742"/>
    </row>
    <row r="579" spans="4:11" s="739" customFormat="1" x14ac:dyDescent="0.2">
      <c r="D579" s="740"/>
      <c r="F579" s="741"/>
      <c r="G579" s="741"/>
      <c r="H579" s="741"/>
      <c r="I579" s="741"/>
      <c r="J579" s="741"/>
      <c r="K579" s="742"/>
    </row>
    <row r="580" spans="4:11" s="739" customFormat="1" x14ac:dyDescent="0.2">
      <c r="D580" s="740"/>
      <c r="F580" s="741"/>
      <c r="G580" s="741"/>
      <c r="H580" s="741"/>
      <c r="I580" s="741"/>
      <c r="J580" s="741"/>
      <c r="K580" s="742"/>
    </row>
    <row r="581" spans="4:11" s="739" customFormat="1" x14ac:dyDescent="0.2">
      <c r="D581" s="740"/>
      <c r="F581" s="741"/>
      <c r="G581" s="741"/>
      <c r="H581" s="741"/>
      <c r="I581" s="741"/>
      <c r="J581" s="741"/>
      <c r="K581" s="742"/>
    </row>
    <row r="582" spans="4:11" s="739" customFormat="1" x14ac:dyDescent="0.2">
      <c r="D582" s="740"/>
      <c r="F582" s="741"/>
      <c r="G582" s="741"/>
      <c r="H582" s="741"/>
      <c r="I582" s="741"/>
      <c r="J582" s="741"/>
      <c r="K582" s="742"/>
    </row>
    <row r="583" spans="4:11" s="739" customFormat="1" x14ac:dyDescent="0.2">
      <c r="D583" s="740"/>
      <c r="F583" s="741"/>
      <c r="G583" s="741"/>
      <c r="H583" s="741"/>
      <c r="I583" s="741"/>
      <c r="J583" s="741"/>
      <c r="K583" s="742"/>
    </row>
    <row r="584" spans="4:11" s="739" customFormat="1" x14ac:dyDescent="0.2">
      <c r="D584" s="740"/>
      <c r="F584" s="741"/>
      <c r="G584" s="741"/>
      <c r="H584" s="741"/>
      <c r="I584" s="741"/>
      <c r="J584" s="741"/>
      <c r="K584" s="742"/>
    </row>
    <row r="585" spans="4:11" s="739" customFormat="1" x14ac:dyDescent="0.2">
      <c r="D585" s="740"/>
      <c r="F585" s="741"/>
      <c r="G585" s="741"/>
      <c r="H585" s="741"/>
      <c r="I585" s="741"/>
      <c r="J585" s="741"/>
      <c r="K585" s="742"/>
    </row>
    <row r="586" spans="4:11" s="739" customFormat="1" x14ac:dyDescent="0.2">
      <c r="D586" s="740"/>
      <c r="F586" s="741"/>
      <c r="G586" s="741"/>
      <c r="H586" s="741"/>
      <c r="I586" s="741"/>
      <c r="J586" s="741"/>
      <c r="K586" s="742"/>
    </row>
    <row r="587" spans="4:11" s="739" customFormat="1" x14ac:dyDescent="0.2">
      <c r="D587" s="740"/>
      <c r="F587" s="741"/>
      <c r="G587" s="741"/>
      <c r="H587" s="741"/>
      <c r="I587" s="741"/>
      <c r="J587" s="741"/>
      <c r="K587" s="742"/>
    </row>
    <row r="588" spans="4:11" s="739" customFormat="1" x14ac:dyDescent="0.2">
      <c r="D588" s="740"/>
      <c r="F588" s="741"/>
      <c r="G588" s="741"/>
      <c r="H588" s="741"/>
      <c r="I588" s="741"/>
      <c r="J588" s="741"/>
      <c r="K588" s="742"/>
    </row>
    <row r="589" spans="4:11" s="739" customFormat="1" x14ac:dyDescent="0.2">
      <c r="D589" s="740"/>
      <c r="F589" s="741"/>
      <c r="G589" s="741"/>
      <c r="H589" s="741"/>
      <c r="I589" s="741"/>
      <c r="J589" s="741"/>
      <c r="K589" s="742"/>
    </row>
    <row r="590" spans="4:11" s="739" customFormat="1" x14ac:dyDescent="0.2">
      <c r="D590" s="740"/>
      <c r="F590" s="741"/>
      <c r="G590" s="741"/>
      <c r="H590" s="741"/>
      <c r="I590" s="741"/>
      <c r="J590" s="741"/>
      <c r="K590" s="742"/>
    </row>
    <row r="591" spans="4:11" s="739" customFormat="1" x14ac:dyDescent="0.2">
      <c r="D591" s="740"/>
      <c r="F591" s="741"/>
      <c r="G591" s="741"/>
      <c r="H591" s="741"/>
      <c r="I591" s="741"/>
      <c r="J591" s="741"/>
      <c r="K591" s="742"/>
    </row>
    <row r="592" spans="4:11" s="739" customFormat="1" x14ac:dyDescent="0.2">
      <c r="D592" s="740"/>
      <c r="F592" s="741"/>
      <c r="G592" s="741"/>
      <c r="H592" s="741"/>
      <c r="I592" s="741"/>
      <c r="J592" s="741"/>
      <c r="K592" s="742"/>
    </row>
    <row r="593" spans="4:11" s="739" customFormat="1" x14ac:dyDescent="0.2">
      <c r="D593" s="740"/>
      <c r="F593" s="741"/>
      <c r="G593" s="741"/>
      <c r="H593" s="741"/>
      <c r="I593" s="741"/>
      <c r="J593" s="741"/>
      <c r="K593" s="742"/>
    </row>
    <row r="594" spans="4:11" s="739" customFormat="1" x14ac:dyDescent="0.2">
      <c r="D594" s="740"/>
      <c r="F594" s="741"/>
      <c r="G594" s="741"/>
      <c r="H594" s="741"/>
      <c r="I594" s="741"/>
      <c r="J594" s="741"/>
      <c r="K594" s="742"/>
    </row>
    <row r="595" spans="4:11" s="739" customFormat="1" x14ac:dyDescent="0.2">
      <c r="D595" s="740"/>
      <c r="F595" s="741"/>
      <c r="G595" s="741"/>
      <c r="H595" s="741"/>
      <c r="I595" s="741"/>
      <c r="J595" s="741"/>
      <c r="K595" s="742"/>
    </row>
    <row r="596" spans="4:11" s="739" customFormat="1" x14ac:dyDescent="0.2">
      <c r="D596" s="740"/>
      <c r="F596" s="741"/>
      <c r="G596" s="741"/>
      <c r="H596" s="741"/>
      <c r="I596" s="741"/>
      <c r="J596" s="741"/>
      <c r="K596" s="742"/>
    </row>
    <row r="597" spans="4:11" s="739" customFormat="1" x14ac:dyDescent="0.2">
      <c r="D597" s="740"/>
      <c r="F597" s="741"/>
      <c r="G597" s="741"/>
      <c r="H597" s="741"/>
      <c r="I597" s="741"/>
      <c r="J597" s="741"/>
      <c r="K597" s="742"/>
    </row>
    <row r="598" spans="4:11" s="739" customFormat="1" x14ac:dyDescent="0.2">
      <c r="D598" s="740"/>
      <c r="F598" s="741"/>
      <c r="G598" s="741"/>
      <c r="H598" s="741"/>
      <c r="I598" s="741"/>
      <c r="J598" s="741"/>
      <c r="K598" s="742"/>
    </row>
    <row r="599" spans="4:11" s="739" customFormat="1" x14ac:dyDescent="0.2">
      <c r="D599" s="740"/>
      <c r="F599" s="741"/>
      <c r="G599" s="741"/>
      <c r="H599" s="741"/>
      <c r="I599" s="741"/>
      <c r="J599" s="741"/>
      <c r="K599" s="742"/>
    </row>
    <row r="600" spans="4:11" s="739" customFormat="1" x14ac:dyDescent="0.2">
      <c r="D600" s="740"/>
      <c r="F600" s="741"/>
      <c r="G600" s="741"/>
      <c r="H600" s="741"/>
      <c r="I600" s="741"/>
      <c r="J600" s="741"/>
      <c r="K600" s="742"/>
    </row>
    <row r="601" spans="4:11" s="739" customFormat="1" x14ac:dyDescent="0.2">
      <c r="D601" s="740"/>
      <c r="F601" s="741"/>
      <c r="G601" s="741"/>
      <c r="H601" s="741"/>
      <c r="I601" s="741"/>
      <c r="J601" s="741"/>
      <c r="K601" s="742"/>
    </row>
    <row r="602" spans="4:11" s="739" customFormat="1" x14ac:dyDescent="0.2">
      <c r="D602" s="740"/>
      <c r="F602" s="741"/>
      <c r="G602" s="741"/>
      <c r="H602" s="741"/>
      <c r="I602" s="741"/>
      <c r="J602" s="741"/>
      <c r="K602" s="742"/>
    </row>
    <row r="603" spans="4:11" s="739" customFormat="1" x14ac:dyDescent="0.2">
      <c r="D603" s="740"/>
      <c r="F603" s="741"/>
      <c r="G603" s="741"/>
      <c r="H603" s="741"/>
      <c r="I603" s="741"/>
      <c r="J603" s="741"/>
      <c r="K603" s="742"/>
    </row>
    <row r="604" spans="4:11" s="739" customFormat="1" x14ac:dyDescent="0.2">
      <c r="D604" s="740"/>
      <c r="F604" s="741"/>
      <c r="G604" s="741"/>
      <c r="H604" s="741"/>
      <c r="I604" s="741"/>
      <c r="J604" s="741"/>
      <c r="K604" s="742"/>
    </row>
    <row r="605" spans="4:11" s="739" customFormat="1" x14ac:dyDescent="0.2">
      <c r="D605" s="740"/>
      <c r="F605" s="741"/>
      <c r="G605" s="741"/>
      <c r="H605" s="741"/>
      <c r="I605" s="741"/>
      <c r="J605" s="741"/>
      <c r="K605" s="742"/>
    </row>
    <row r="606" spans="4:11" s="739" customFormat="1" x14ac:dyDescent="0.2">
      <c r="D606" s="740"/>
      <c r="F606" s="741"/>
      <c r="G606" s="741"/>
      <c r="H606" s="741"/>
      <c r="I606" s="741"/>
      <c r="J606" s="741"/>
      <c r="K606" s="742"/>
    </row>
    <row r="607" spans="4:11" s="739" customFormat="1" x14ac:dyDescent="0.2">
      <c r="D607" s="740"/>
      <c r="F607" s="741"/>
      <c r="G607" s="741"/>
      <c r="H607" s="741"/>
      <c r="I607" s="741"/>
      <c r="J607" s="741"/>
      <c r="K607" s="742"/>
    </row>
    <row r="608" spans="4:11" s="739" customFormat="1" x14ac:dyDescent="0.2">
      <c r="D608" s="740"/>
      <c r="F608" s="741"/>
      <c r="G608" s="741"/>
      <c r="H608" s="741"/>
      <c r="I608" s="741"/>
      <c r="J608" s="741"/>
      <c r="K608" s="742"/>
    </row>
    <row r="609" spans="4:11" s="739" customFormat="1" x14ac:dyDescent="0.2">
      <c r="D609" s="740"/>
      <c r="F609" s="741"/>
      <c r="G609" s="741"/>
      <c r="H609" s="741"/>
      <c r="I609" s="741"/>
      <c r="J609" s="741"/>
      <c r="K609" s="742"/>
    </row>
    <row r="610" spans="4:11" s="739" customFormat="1" x14ac:dyDescent="0.2">
      <c r="D610" s="740"/>
      <c r="F610" s="741"/>
      <c r="G610" s="741"/>
      <c r="H610" s="741"/>
      <c r="I610" s="741"/>
      <c r="J610" s="741"/>
      <c r="K610" s="742"/>
    </row>
    <row r="611" spans="4:11" s="739" customFormat="1" x14ac:dyDescent="0.2">
      <c r="D611" s="740"/>
      <c r="F611" s="741"/>
      <c r="G611" s="741"/>
      <c r="H611" s="741"/>
      <c r="I611" s="741"/>
      <c r="J611" s="741"/>
      <c r="K611" s="742"/>
    </row>
    <row r="612" spans="4:11" s="739" customFormat="1" x14ac:dyDescent="0.2">
      <c r="D612" s="740"/>
      <c r="F612" s="741"/>
      <c r="G612" s="741"/>
      <c r="H612" s="741"/>
      <c r="I612" s="741"/>
      <c r="J612" s="741"/>
      <c r="K612" s="742"/>
    </row>
    <row r="613" spans="4:11" s="739" customFormat="1" x14ac:dyDescent="0.2">
      <c r="D613" s="740"/>
      <c r="F613" s="741"/>
      <c r="G613" s="741"/>
      <c r="H613" s="741"/>
      <c r="I613" s="741"/>
      <c r="J613" s="741"/>
      <c r="K613" s="742"/>
    </row>
    <row r="614" spans="4:11" s="739" customFormat="1" x14ac:dyDescent="0.2">
      <c r="D614" s="740"/>
      <c r="F614" s="741"/>
      <c r="G614" s="741"/>
      <c r="H614" s="741"/>
      <c r="I614" s="741"/>
      <c r="J614" s="741"/>
      <c r="K614" s="742"/>
    </row>
    <row r="615" spans="4:11" s="739" customFormat="1" x14ac:dyDescent="0.2">
      <c r="D615" s="740"/>
      <c r="F615" s="741"/>
      <c r="G615" s="741"/>
      <c r="H615" s="741"/>
      <c r="I615" s="741"/>
      <c r="J615" s="741"/>
      <c r="K615" s="742"/>
    </row>
    <row r="616" spans="4:11" s="739" customFormat="1" x14ac:dyDescent="0.2">
      <c r="D616" s="740"/>
      <c r="F616" s="741"/>
      <c r="G616" s="741"/>
      <c r="H616" s="741"/>
      <c r="I616" s="741"/>
      <c r="J616" s="741"/>
      <c r="K616" s="742"/>
    </row>
    <row r="617" spans="4:11" s="739" customFormat="1" x14ac:dyDescent="0.2">
      <c r="D617" s="740"/>
      <c r="F617" s="741"/>
      <c r="G617" s="741"/>
      <c r="H617" s="741"/>
      <c r="I617" s="741"/>
      <c r="J617" s="741"/>
      <c r="K617" s="742"/>
    </row>
    <row r="618" spans="4:11" s="739" customFormat="1" x14ac:dyDescent="0.2">
      <c r="D618" s="740"/>
      <c r="F618" s="741"/>
      <c r="G618" s="741"/>
      <c r="H618" s="741"/>
      <c r="I618" s="741"/>
      <c r="J618" s="741"/>
      <c r="K618" s="742"/>
    </row>
    <row r="619" spans="4:11" s="739" customFormat="1" x14ac:dyDescent="0.2">
      <c r="D619" s="740"/>
      <c r="F619" s="741"/>
      <c r="G619" s="741"/>
      <c r="H619" s="741"/>
      <c r="I619" s="741"/>
      <c r="J619" s="741"/>
      <c r="K619" s="742"/>
    </row>
    <row r="620" spans="4:11" s="739" customFormat="1" x14ac:dyDescent="0.2">
      <c r="D620" s="740"/>
      <c r="F620" s="741"/>
      <c r="G620" s="741"/>
      <c r="H620" s="741"/>
      <c r="I620" s="741"/>
      <c r="J620" s="741"/>
      <c r="K620" s="742"/>
    </row>
    <row r="621" spans="4:11" s="739" customFormat="1" x14ac:dyDescent="0.2">
      <c r="D621" s="740"/>
      <c r="F621" s="741"/>
      <c r="G621" s="741"/>
      <c r="H621" s="741"/>
      <c r="I621" s="741"/>
      <c r="J621" s="741"/>
      <c r="K621" s="742"/>
    </row>
    <row r="622" spans="4:11" s="739" customFormat="1" x14ac:dyDescent="0.2">
      <c r="D622" s="740"/>
      <c r="F622" s="741"/>
      <c r="G622" s="741"/>
      <c r="H622" s="741"/>
      <c r="I622" s="741"/>
      <c r="J622" s="741"/>
      <c r="K622" s="742"/>
    </row>
    <row r="623" spans="4:11" s="739" customFormat="1" x14ac:dyDescent="0.2">
      <c r="D623" s="740"/>
      <c r="F623" s="741"/>
      <c r="G623" s="741"/>
      <c r="H623" s="741"/>
      <c r="I623" s="741"/>
      <c r="J623" s="741"/>
      <c r="K623" s="742"/>
    </row>
    <row r="624" spans="4:11" s="739" customFormat="1" x14ac:dyDescent="0.2">
      <c r="D624" s="740"/>
      <c r="F624" s="741"/>
      <c r="G624" s="741"/>
      <c r="H624" s="741"/>
      <c r="I624" s="741"/>
      <c r="J624" s="741"/>
      <c r="K624" s="742"/>
    </row>
    <row r="625" spans="4:11" s="739" customFormat="1" x14ac:dyDescent="0.2">
      <c r="D625" s="740"/>
      <c r="F625" s="741"/>
      <c r="G625" s="741"/>
      <c r="H625" s="741"/>
      <c r="I625" s="741"/>
      <c r="J625" s="741"/>
      <c r="K625" s="742"/>
    </row>
    <row r="626" spans="4:11" s="739" customFormat="1" x14ac:dyDescent="0.2">
      <c r="D626" s="740"/>
      <c r="F626" s="741"/>
      <c r="G626" s="741"/>
      <c r="H626" s="741"/>
      <c r="I626" s="741"/>
      <c r="J626" s="741"/>
      <c r="K626" s="742"/>
    </row>
    <row r="627" spans="4:11" s="739" customFormat="1" x14ac:dyDescent="0.2">
      <c r="D627" s="740"/>
      <c r="F627" s="741"/>
      <c r="G627" s="741"/>
      <c r="H627" s="741"/>
      <c r="I627" s="741"/>
      <c r="J627" s="741"/>
      <c r="K627" s="742"/>
    </row>
    <row r="628" spans="4:11" s="739" customFormat="1" x14ac:dyDescent="0.2">
      <c r="D628" s="740"/>
      <c r="F628" s="741"/>
      <c r="G628" s="741"/>
      <c r="H628" s="741"/>
      <c r="I628" s="741"/>
      <c r="J628" s="741"/>
      <c r="K628" s="742"/>
    </row>
    <row r="629" spans="4:11" s="739" customFormat="1" x14ac:dyDescent="0.2">
      <c r="D629" s="740"/>
      <c r="F629" s="741"/>
      <c r="G629" s="741"/>
      <c r="H629" s="741"/>
      <c r="I629" s="741"/>
      <c r="J629" s="741"/>
      <c r="K629" s="742"/>
    </row>
    <row r="630" spans="4:11" s="739" customFormat="1" x14ac:dyDescent="0.2">
      <c r="D630" s="740"/>
      <c r="F630" s="741"/>
      <c r="G630" s="741"/>
      <c r="H630" s="741"/>
      <c r="I630" s="741"/>
      <c r="J630" s="741"/>
      <c r="K630" s="742"/>
    </row>
    <row r="631" spans="4:11" s="739" customFormat="1" x14ac:dyDescent="0.2">
      <c r="D631" s="740"/>
      <c r="F631" s="741"/>
      <c r="G631" s="741"/>
      <c r="H631" s="741"/>
      <c r="I631" s="741"/>
      <c r="J631" s="741"/>
      <c r="K631" s="742"/>
    </row>
    <row r="632" spans="4:11" s="739" customFormat="1" x14ac:dyDescent="0.2">
      <c r="D632" s="740"/>
      <c r="F632" s="741"/>
      <c r="G632" s="741"/>
      <c r="H632" s="741"/>
      <c r="I632" s="741"/>
      <c r="J632" s="741"/>
      <c r="K632" s="742"/>
    </row>
    <row r="633" spans="4:11" s="739" customFormat="1" x14ac:dyDescent="0.2">
      <c r="D633" s="740"/>
      <c r="F633" s="741"/>
      <c r="G633" s="741"/>
      <c r="H633" s="741"/>
      <c r="I633" s="741"/>
      <c r="J633" s="741"/>
      <c r="K633" s="742"/>
    </row>
    <row r="634" spans="4:11" s="739" customFormat="1" x14ac:dyDescent="0.2">
      <c r="D634" s="740"/>
      <c r="F634" s="741"/>
      <c r="G634" s="741"/>
      <c r="H634" s="741"/>
      <c r="I634" s="741"/>
      <c r="J634" s="741"/>
      <c r="K634" s="742"/>
    </row>
    <row r="635" spans="4:11" s="739" customFormat="1" x14ac:dyDescent="0.2">
      <c r="D635" s="740"/>
      <c r="F635" s="741"/>
      <c r="G635" s="741"/>
      <c r="H635" s="741"/>
      <c r="I635" s="741"/>
      <c r="J635" s="741"/>
      <c r="K635" s="742"/>
    </row>
    <row r="636" spans="4:11" s="739" customFormat="1" x14ac:dyDescent="0.2">
      <c r="D636" s="740"/>
      <c r="F636" s="741"/>
      <c r="G636" s="741"/>
      <c r="H636" s="741"/>
      <c r="I636" s="741"/>
      <c r="J636" s="741"/>
      <c r="K636" s="742"/>
    </row>
    <row r="637" spans="4:11" s="739" customFormat="1" x14ac:dyDescent="0.2">
      <c r="D637" s="740"/>
      <c r="F637" s="741"/>
      <c r="G637" s="741"/>
      <c r="H637" s="741"/>
      <c r="I637" s="741"/>
      <c r="J637" s="741"/>
      <c r="K637" s="742"/>
    </row>
    <row r="638" spans="4:11" s="739" customFormat="1" x14ac:dyDescent="0.2">
      <c r="D638" s="740"/>
      <c r="F638" s="741"/>
      <c r="G638" s="741"/>
      <c r="H638" s="741"/>
      <c r="I638" s="741"/>
      <c r="J638" s="741"/>
      <c r="K638" s="742"/>
    </row>
    <row r="639" spans="4:11" s="739" customFormat="1" x14ac:dyDescent="0.2">
      <c r="D639" s="740"/>
      <c r="F639" s="741"/>
      <c r="G639" s="741"/>
      <c r="H639" s="741"/>
      <c r="I639" s="741"/>
      <c r="J639" s="741"/>
      <c r="K639" s="742"/>
    </row>
    <row r="640" spans="4:11" s="739" customFormat="1" x14ac:dyDescent="0.2">
      <c r="D640" s="740"/>
      <c r="F640" s="741"/>
      <c r="G640" s="741"/>
      <c r="H640" s="741"/>
      <c r="I640" s="741"/>
      <c r="J640" s="741"/>
      <c r="K640" s="742"/>
    </row>
    <row r="641" spans="4:11" s="739" customFormat="1" x14ac:dyDescent="0.2">
      <c r="D641" s="740"/>
      <c r="F641" s="741"/>
      <c r="G641" s="741"/>
      <c r="H641" s="741"/>
      <c r="I641" s="741"/>
      <c r="J641" s="741"/>
      <c r="K641" s="742"/>
    </row>
    <row r="642" spans="4:11" s="739" customFormat="1" x14ac:dyDescent="0.2">
      <c r="D642" s="740"/>
      <c r="F642" s="741"/>
      <c r="G642" s="741"/>
      <c r="H642" s="741"/>
      <c r="I642" s="741"/>
      <c r="J642" s="741"/>
      <c r="K642" s="742"/>
    </row>
    <row r="643" spans="4:11" s="739" customFormat="1" x14ac:dyDescent="0.2">
      <c r="D643" s="740"/>
      <c r="F643" s="741"/>
      <c r="G643" s="741"/>
      <c r="H643" s="741"/>
      <c r="I643" s="741"/>
      <c r="J643" s="741"/>
      <c r="K643" s="742"/>
    </row>
    <row r="644" spans="4:11" s="739" customFormat="1" x14ac:dyDescent="0.2">
      <c r="D644" s="740"/>
      <c r="F644" s="741"/>
      <c r="G644" s="741"/>
      <c r="H644" s="741"/>
      <c r="I644" s="741"/>
      <c r="J644" s="741"/>
      <c r="K644" s="742"/>
    </row>
    <row r="645" spans="4:11" s="739" customFormat="1" x14ac:dyDescent="0.2">
      <c r="D645" s="740"/>
      <c r="F645" s="741"/>
      <c r="G645" s="741"/>
      <c r="H645" s="741"/>
      <c r="I645" s="741"/>
      <c r="J645" s="741"/>
      <c r="K645" s="742"/>
    </row>
    <row r="646" spans="4:11" s="739" customFormat="1" x14ac:dyDescent="0.2">
      <c r="D646" s="740"/>
      <c r="F646" s="741"/>
      <c r="G646" s="741"/>
      <c r="H646" s="741"/>
      <c r="I646" s="741"/>
      <c r="J646" s="741"/>
      <c r="K646" s="742"/>
    </row>
    <row r="647" spans="4:11" s="739" customFormat="1" x14ac:dyDescent="0.2">
      <c r="D647" s="740"/>
      <c r="F647" s="741"/>
      <c r="G647" s="741"/>
      <c r="H647" s="741"/>
      <c r="I647" s="741"/>
      <c r="J647" s="741"/>
      <c r="K647" s="742"/>
    </row>
    <row r="648" spans="4:11" s="739" customFormat="1" x14ac:dyDescent="0.2">
      <c r="D648" s="740"/>
      <c r="F648" s="741"/>
      <c r="G648" s="741"/>
      <c r="H648" s="741"/>
      <c r="I648" s="741"/>
      <c r="J648" s="741"/>
      <c r="K648" s="742"/>
    </row>
    <row r="649" spans="4:11" s="739" customFormat="1" x14ac:dyDescent="0.2">
      <c r="D649" s="740"/>
      <c r="F649" s="741"/>
      <c r="G649" s="741"/>
      <c r="H649" s="741"/>
      <c r="I649" s="741"/>
      <c r="J649" s="741"/>
      <c r="K649" s="742"/>
    </row>
    <row r="650" spans="4:11" s="739" customFormat="1" x14ac:dyDescent="0.2">
      <c r="D650" s="740"/>
      <c r="F650" s="741"/>
      <c r="G650" s="741"/>
      <c r="H650" s="741"/>
      <c r="I650" s="741"/>
      <c r="J650" s="741"/>
      <c r="K650" s="742"/>
    </row>
    <row r="651" spans="4:11" s="739" customFormat="1" x14ac:dyDescent="0.2">
      <c r="D651" s="740"/>
      <c r="F651" s="741"/>
      <c r="G651" s="741"/>
      <c r="H651" s="741"/>
      <c r="I651" s="741"/>
      <c r="J651" s="741"/>
      <c r="K651" s="742"/>
    </row>
    <row r="652" spans="4:11" s="739" customFormat="1" x14ac:dyDescent="0.2">
      <c r="D652" s="740"/>
      <c r="F652" s="741"/>
      <c r="G652" s="741"/>
      <c r="H652" s="741"/>
      <c r="I652" s="741"/>
      <c r="J652" s="741"/>
      <c r="K652" s="742"/>
    </row>
    <row r="653" spans="4:11" s="739" customFormat="1" x14ac:dyDescent="0.2">
      <c r="D653" s="740"/>
      <c r="F653" s="741"/>
      <c r="G653" s="741"/>
      <c r="H653" s="741"/>
      <c r="I653" s="741"/>
      <c r="J653" s="741"/>
      <c r="K653" s="742"/>
    </row>
    <row r="654" spans="4:11" s="739" customFormat="1" x14ac:dyDescent="0.2">
      <c r="D654" s="740"/>
      <c r="F654" s="741"/>
      <c r="G654" s="741"/>
      <c r="H654" s="741"/>
      <c r="I654" s="741"/>
      <c r="J654" s="741"/>
      <c r="K654" s="742"/>
    </row>
    <row r="655" spans="4:11" s="739" customFormat="1" x14ac:dyDescent="0.2">
      <c r="D655" s="740"/>
      <c r="F655" s="741"/>
      <c r="G655" s="741"/>
      <c r="H655" s="741"/>
      <c r="I655" s="741"/>
      <c r="J655" s="741"/>
      <c r="K655" s="742"/>
    </row>
    <row r="656" spans="4:11" s="739" customFormat="1" x14ac:dyDescent="0.2">
      <c r="D656" s="740"/>
      <c r="F656" s="741"/>
      <c r="G656" s="741"/>
      <c r="H656" s="741"/>
      <c r="I656" s="741"/>
      <c r="J656" s="741"/>
      <c r="K656" s="742"/>
    </row>
    <row r="657" spans="4:11" s="739" customFormat="1" x14ac:dyDescent="0.2">
      <c r="D657" s="740"/>
      <c r="F657" s="741"/>
      <c r="G657" s="741"/>
      <c r="H657" s="741"/>
      <c r="I657" s="741"/>
      <c r="J657" s="741"/>
      <c r="K657" s="742"/>
    </row>
    <row r="658" spans="4:11" s="739" customFormat="1" x14ac:dyDescent="0.2">
      <c r="D658" s="740"/>
      <c r="F658" s="741"/>
      <c r="G658" s="741"/>
      <c r="H658" s="741"/>
      <c r="I658" s="741"/>
      <c r="J658" s="741"/>
      <c r="K658" s="742"/>
    </row>
    <row r="659" spans="4:11" s="739" customFormat="1" x14ac:dyDescent="0.2">
      <c r="D659" s="740"/>
      <c r="F659" s="741"/>
      <c r="G659" s="741"/>
      <c r="H659" s="741"/>
      <c r="I659" s="741"/>
      <c r="J659" s="741"/>
      <c r="K659" s="742"/>
    </row>
    <row r="660" spans="4:11" s="739" customFormat="1" x14ac:dyDescent="0.2">
      <c r="D660" s="740"/>
      <c r="F660" s="741"/>
      <c r="G660" s="741"/>
      <c r="H660" s="741"/>
      <c r="I660" s="741"/>
      <c r="J660" s="741"/>
      <c r="K660" s="742"/>
    </row>
    <row r="661" spans="4:11" s="739" customFormat="1" x14ac:dyDescent="0.2">
      <c r="D661" s="740"/>
      <c r="F661" s="741"/>
      <c r="G661" s="741"/>
      <c r="H661" s="741"/>
      <c r="I661" s="741"/>
      <c r="J661" s="741"/>
      <c r="K661" s="742"/>
    </row>
    <row r="662" spans="4:11" s="739" customFormat="1" x14ac:dyDescent="0.2">
      <c r="D662" s="740"/>
      <c r="F662" s="741"/>
      <c r="G662" s="741"/>
      <c r="H662" s="741"/>
      <c r="I662" s="741"/>
      <c r="J662" s="741"/>
      <c r="K662" s="742"/>
    </row>
    <row r="663" spans="4:11" s="739" customFormat="1" x14ac:dyDescent="0.2">
      <c r="D663" s="740"/>
      <c r="F663" s="741"/>
      <c r="G663" s="741"/>
      <c r="H663" s="741"/>
      <c r="I663" s="741"/>
      <c r="J663" s="741"/>
      <c r="K663" s="742"/>
    </row>
    <row r="664" spans="4:11" s="739" customFormat="1" x14ac:dyDescent="0.2">
      <c r="D664" s="740"/>
      <c r="F664" s="741"/>
      <c r="G664" s="741"/>
      <c r="H664" s="741"/>
      <c r="I664" s="741"/>
      <c r="J664" s="741"/>
      <c r="K664" s="742"/>
    </row>
    <row r="665" spans="4:11" s="739" customFormat="1" x14ac:dyDescent="0.2">
      <c r="D665" s="740"/>
      <c r="F665" s="741"/>
      <c r="G665" s="741"/>
      <c r="H665" s="741"/>
      <c r="I665" s="741"/>
      <c r="J665" s="741"/>
      <c r="K665" s="742"/>
    </row>
    <row r="666" spans="4:11" s="739" customFormat="1" x14ac:dyDescent="0.2">
      <c r="D666" s="740"/>
      <c r="F666" s="741"/>
      <c r="G666" s="741"/>
      <c r="H666" s="741"/>
      <c r="I666" s="741"/>
      <c r="J666" s="741"/>
      <c r="K666" s="742"/>
    </row>
    <row r="667" spans="4:11" s="739" customFormat="1" x14ac:dyDescent="0.2">
      <c r="D667" s="740"/>
      <c r="F667" s="741"/>
      <c r="G667" s="741"/>
      <c r="H667" s="741"/>
      <c r="I667" s="741"/>
      <c r="J667" s="741"/>
      <c r="K667" s="742"/>
    </row>
    <row r="668" spans="4:11" s="739" customFormat="1" x14ac:dyDescent="0.2">
      <c r="D668" s="740"/>
      <c r="F668" s="741"/>
      <c r="G668" s="741"/>
      <c r="H668" s="741"/>
      <c r="I668" s="741"/>
      <c r="J668" s="741"/>
      <c r="K668" s="742"/>
    </row>
    <row r="669" spans="4:11" s="739" customFormat="1" x14ac:dyDescent="0.2">
      <c r="D669" s="740"/>
      <c r="F669" s="741"/>
      <c r="G669" s="741"/>
      <c r="H669" s="741"/>
      <c r="I669" s="741"/>
      <c r="J669" s="741"/>
      <c r="K669" s="742"/>
    </row>
    <row r="670" spans="4:11" s="739" customFormat="1" x14ac:dyDescent="0.2">
      <c r="D670" s="740"/>
      <c r="F670" s="741"/>
      <c r="G670" s="741"/>
      <c r="H670" s="741"/>
      <c r="I670" s="741"/>
      <c r="J670" s="741"/>
      <c r="K670" s="742"/>
    </row>
    <row r="671" spans="4:11" s="739" customFormat="1" x14ac:dyDescent="0.2">
      <c r="D671" s="740"/>
      <c r="F671" s="741"/>
      <c r="G671" s="741"/>
      <c r="H671" s="741"/>
      <c r="I671" s="741"/>
      <c r="J671" s="741"/>
      <c r="K671" s="742"/>
    </row>
    <row r="672" spans="4:11" s="739" customFormat="1" x14ac:dyDescent="0.2">
      <c r="D672" s="740"/>
      <c r="F672" s="741"/>
      <c r="G672" s="741"/>
      <c r="H672" s="741"/>
      <c r="I672" s="741"/>
      <c r="J672" s="741"/>
      <c r="K672" s="742"/>
    </row>
    <row r="673" spans="4:11" s="739" customFormat="1" x14ac:dyDescent="0.2">
      <c r="D673" s="740"/>
      <c r="F673" s="741"/>
      <c r="G673" s="741"/>
      <c r="H673" s="741"/>
      <c r="I673" s="741"/>
      <c r="J673" s="741"/>
      <c r="K673" s="742"/>
    </row>
    <row r="674" spans="4:11" s="739" customFormat="1" x14ac:dyDescent="0.2">
      <c r="D674" s="740"/>
      <c r="F674" s="741"/>
      <c r="G674" s="741"/>
      <c r="H674" s="741"/>
      <c r="I674" s="741"/>
      <c r="J674" s="741"/>
      <c r="K674" s="742"/>
    </row>
    <row r="675" spans="4:11" s="739" customFormat="1" x14ac:dyDescent="0.2">
      <c r="D675" s="740"/>
      <c r="F675" s="741"/>
      <c r="G675" s="741"/>
      <c r="H675" s="741"/>
      <c r="I675" s="741"/>
      <c r="J675" s="741"/>
      <c r="K675" s="742"/>
    </row>
    <row r="676" spans="4:11" s="739" customFormat="1" x14ac:dyDescent="0.2">
      <c r="D676" s="740"/>
      <c r="F676" s="741"/>
      <c r="G676" s="741"/>
      <c r="H676" s="741"/>
      <c r="I676" s="741"/>
      <c r="J676" s="741"/>
      <c r="K676" s="742"/>
    </row>
    <row r="677" spans="4:11" s="739" customFormat="1" x14ac:dyDescent="0.2">
      <c r="D677" s="740"/>
      <c r="F677" s="741"/>
      <c r="G677" s="741"/>
      <c r="H677" s="741"/>
      <c r="I677" s="741"/>
      <c r="J677" s="741"/>
      <c r="K677" s="742"/>
    </row>
    <row r="678" spans="4:11" s="739" customFormat="1" x14ac:dyDescent="0.2">
      <c r="D678" s="740"/>
      <c r="F678" s="741"/>
      <c r="G678" s="741"/>
      <c r="H678" s="741"/>
      <c r="I678" s="741"/>
      <c r="J678" s="741"/>
      <c r="K678" s="742"/>
    </row>
    <row r="679" spans="4:11" s="739" customFormat="1" x14ac:dyDescent="0.2">
      <c r="D679" s="740"/>
      <c r="F679" s="741"/>
      <c r="G679" s="741"/>
      <c r="H679" s="741"/>
      <c r="I679" s="741"/>
      <c r="J679" s="741"/>
      <c r="K679" s="742"/>
    </row>
    <row r="680" spans="4:11" s="739" customFormat="1" x14ac:dyDescent="0.2">
      <c r="D680" s="740"/>
      <c r="F680" s="741"/>
      <c r="G680" s="741"/>
      <c r="H680" s="741"/>
      <c r="I680" s="741"/>
      <c r="J680" s="741"/>
      <c r="K680" s="742"/>
    </row>
    <row r="681" spans="4:11" s="739" customFormat="1" x14ac:dyDescent="0.2">
      <c r="D681" s="740"/>
      <c r="F681" s="741"/>
      <c r="G681" s="741"/>
      <c r="H681" s="741"/>
      <c r="I681" s="741"/>
      <c r="J681" s="741"/>
      <c r="K681" s="742"/>
    </row>
    <row r="682" spans="4:11" s="739" customFormat="1" x14ac:dyDescent="0.2">
      <c r="D682" s="740"/>
      <c r="F682" s="741"/>
      <c r="G682" s="741"/>
      <c r="H682" s="741"/>
      <c r="I682" s="741"/>
      <c r="J682" s="741"/>
      <c r="K682" s="742"/>
    </row>
    <row r="683" spans="4:11" s="739" customFormat="1" x14ac:dyDescent="0.2">
      <c r="D683" s="740"/>
      <c r="F683" s="741"/>
      <c r="G683" s="741"/>
      <c r="H683" s="741"/>
      <c r="I683" s="741"/>
      <c r="J683" s="741"/>
      <c r="K683" s="742"/>
    </row>
    <row r="684" spans="4:11" s="739" customFormat="1" x14ac:dyDescent="0.2">
      <c r="D684" s="740"/>
      <c r="F684" s="741"/>
      <c r="G684" s="741"/>
      <c r="H684" s="741"/>
      <c r="I684" s="741"/>
      <c r="J684" s="741"/>
      <c r="K684" s="742"/>
    </row>
    <row r="685" spans="4:11" s="739" customFormat="1" x14ac:dyDescent="0.2">
      <c r="D685" s="740"/>
      <c r="F685" s="741"/>
      <c r="G685" s="741"/>
      <c r="H685" s="741"/>
      <c r="I685" s="741"/>
      <c r="J685" s="741"/>
      <c r="K685" s="742"/>
    </row>
    <row r="686" spans="4:11" s="739" customFormat="1" x14ac:dyDescent="0.2">
      <c r="D686" s="740"/>
      <c r="F686" s="741"/>
      <c r="G686" s="741"/>
      <c r="H686" s="741"/>
      <c r="I686" s="741"/>
      <c r="J686" s="741"/>
      <c r="K686" s="742"/>
    </row>
    <row r="687" spans="4:11" s="739" customFormat="1" x14ac:dyDescent="0.2">
      <c r="D687" s="740"/>
      <c r="F687" s="741"/>
      <c r="G687" s="741"/>
      <c r="H687" s="741"/>
      <c r="I687" s="741"/>
      <c r="J687" s="741"/>
      <c r="K687" s="742"/>
    </row>
    <row r="688" spans="4:11" s="739" customFormat="1" x14ac:dyDescent="0.2">
      <c r="D688" s="740"/>
      <c r="F688" s="741"/>
      <c r="G688" s="741"/>
      <c r="H688" s="741"/>
      <c r="I688" s="741"/>
      <c r="J688" s="741"/>
      <c r="K688" s="742"/>
    </row>
    <row r="689" spans="4:11" s="739" customFormat="1" x14ac:dyDescent="0.2">
      <c r="D689" s="740"/>
      <c r="F689" s="741"/>
      <c r="G689" s="741"/>
      <c r="H689" s="741"/>
      <c r="I689" s="741"/>
      <c r="J689" s="741"/>
      <c r="K689" s="742"/>
    </row>
    <row r="690" spans="4:11" s="739" customFormat="1" x14ac:dyDescent="0.2">
      <c r="D690" s="740"/>
      <c r="F690" s="741"/>
      <c r="G690" s="741"/>
      <c r="H690" s="741"/>
      <c r="I690" s="741"/>
      <c r="J690" s="741"/>
      <c r="K690" s="742"/>
    </row>
    <row r="691" spans="4:11" s="739" customFormat="1" x14ac:dyDescent="0.2">
      <c r="D691" s="740"/>
      <c r="F691" s="741"/>
      <c r="G691" s="741"/>
      <c r="H691" s="741"/>
      <c r="I691" s="741"/>
      <c r="J691" s="741"/>
      <c r="K691" s="742"/>
    </row>
    <row r="692" spans="4:11" s="739" customFormat="1" x14ac:dyDescent="0.2">
      <c r="D692" s="740"/>
      <c r="F692" s="741"/>
      <c r="G692" s="741"/>
      <c r="H692" s="741"/>
      <c r="I692" s="741"/>
      <c r="J692" s="741"/>
      <c r="K692" s="742"/>
    </row>
    <row r="693" spans="4:11" s="739" customFormat="1" x14ac:dyDescent="0.2">
      <c r="D693" s="740"/>
      <c r="F693" s="741"/>
      <c r="G693" s="741"/>
      <c r="H693" s="741"/>
      <c r="I693" s="741"/>
      <c r="J693" s="741"/>
      <c r="K693" s="742"/>
    </row>
    <row r="694" spans="4:11" s="739" customFormat="1" x14ac:dyDescent="0.2">
      <c r="D694" s="740"/>
      <c r="F694" s="741"/>
      <c r="G694" s="741"/>
      <c r="H694" s="741"/>
      <c r="I694" s="741"/>
      <c r="J694" s="741"/>
      <c r="K694" s="742"/>
    </row>
    <row r="695" spans="4:11" s="739" customFormat="1" x14ac:dyDescent="0.2">
      <c r="D695" s="740"/>
      <c r="F695" s="741"/>
      <c r="G695" s="741"/>
      <c r="H695" s="741"/>
      <c r="I695" s="741"/>
      <c r="J695" s="741"/>
      <c r="K695" s="742"/>
    </row>
    <row r="696" spans="4:11" s="739" customFormat="1" x14ac:dyDescent="0.2">
      <c r="D696" s="740"/>
      <c r="F696" s="741"/>
      <c r="G696" s="741"/>
      <c r="H696" s="741"/>
      <c r="I696" s="741"/>
      <c r="J696" s="741"/>
      <c r="K696" s="742"/>
    </row>
    <row r="697" spans="4:11" s="739" customFormat="1" x14ac:dyDescent="0.2">
      <c r="D697" s="740"/>
      <c r="F697" s="741"/>
      <c r="G697" s="741"/>
      <c r="H697" s="741"/>
      <c r="I697" s="741"/>
      <c r="J697" s="741"/>
      <c r="K697" s="742"/>
    </row>
    <row r="698" spans="4:11" s="739" customFormat="1" x14ac:dyDescent="0.2">
      <c r="D698" s="740"/>
      <c r="F698" s="741"/>
      <c r="G698" s="741"/>
      <c r="H698" s="741"/>
      <c r="I698" s="741"/>
      <c r="J698" s="741"/>
      <c r="K698" s="742"/>
    </row>
    <row r="699" spans="4:11" s="739" customFormat="1" x14ac:dyDescent="0.2">
      <c r="D699" s="740"/>
      <c r="F699" s="741"/>
      <c r="G699" s="741"/>
      <c r="H699" s="741"/>
      <c r="I699" s="741"/>
      <c r="J699" s="741"/>
      <c r="K699" s="742"/>
    </row>
    <row r="700" spans="4:11" s="739" customFormat="1" x14ac:dyDescent="0.2">
      <c r="D700" s="740"/>
      <c r="F700" s="741"/>
      <c r="G700" s="741"/>
      <c r="H700" s="741"/>
      <c r="I700" s="741"/>
      <c r="J700" s="741"/>
      <c r="K700" s="742"/>
    </row>
    <row r="701" spans="4:11" s="739" customFormat="1" x14ac:dyDescent="0.2">
      <c r="D701" s="740"/>
      <c r="F701" s="741"/>
      <c r="G701" s="741"/>
      <c r="H701" s="741"/>
      <c r="I701" s="741"/>
      <c r="J701" s="741"/>
      <c r="K701" s="742"/>
    </row>
    <row r="702" spans="4:11" s="739" customFormat="1" x14ac:dyDescent="0.2">
      <c r="D702" s="740"/>
      <c r="F702" s="741"/>
      <c r="G702" s="741"/>
      <c r="H702" s="741"/>
      <c r="I702" s="741"/>
      <c r="J702" s="741"/>
      <c r="K702" s="742"/>
    </row>
    <row r="703" spans="4:11" s="739" customFormat="1" x14ac:dyDescent="0.2">
      <c r="D703" s="740"/>
      <c r="F703" s="741"/>
      <c r="G703" s="741"/>
      <c r="H703" s="741"/>
      <c r="I703" s="741"/>
      <c r="J703" s="741"/>
      <c r="K703" s="742"/>
    </row>
    <row r="704" spans="4:11" s="739" customFormat="1" x14ac:dyDescent="0.2">
      <c r="D704" s="740"/>
      <c r="F704" s="741"/>
      <c r="G704" s="741"/>
      <c r="H704" s="741"/>
      <c r="I704" s="741"/>
      <c r="J704" s="741"/>
      <c r="K704" s="742"/>
    </row>
    <row r="705" spans="4:11" s="739" customFormat="1" x14ac:dyDescent="0.2">
      <c r="D705" s="740"/>
      <c r="F705" s="741"/>
      <c r="G705" s="741"/>
      <c r="H705" s="741"/>
      <c r="I705" s="741"/>
      <c r="J705" s="741"/>
      <c r="K705" s="742"/>
    </row>
    <row r="706" spans="4:11" s="739" customFormat="1" x14ac:dyDescent="0.2">
      <c r="D706" s="740"/>
      <c r="F706" s="741"/>
      <c r="G706" s="741"/>
      <c r="H706" s="741"/>
      <c r="I706" s="741"/>
      <c r="J706" s="741"/>
      <c r="K706" s="742"/>
    </row>
    <row r="707" spans="4:11" s="739" customFormat="1" x14ac:dyDescent="0.2">
      <c r="D707" s="740"/>
      <c r="F707" s="741"/>
      <c r="G707" s="741"/>
      <c r="H707" s="741"/>
      <c r="I707" s="741"/>
      <c r="J707" s="741"/>
      <c r="K707" s="742"/>
    </row>
    <row r="708" spans="4:11" s="739" customFormat="1" x14ac:dyDescent="0.2">
      <c r="D708" s="740"/>
      <c r="F708" s="741"/>
      <c r="G708" s="741"/>
      <c r="H708" s="741"/>
      <c r="I708" s="741"/>
      <c r="J708" s="741"/>
      <c r="K708" s="742"/>
    </row>
    <row r="709" spans="4:11" s="739" customFormat="1" x14ac:dyDescent="0.2">
      <c r="D709" s="740"/>
      <c r="F709" s="741"/>
      <c r="G709" s="741"/>
      <c r="H709" s="741"/>
      <c r="I709" s="741"/>
      <c r="J709" s="741"/>
      <c r="K709" s="742"/>
    </row>
    <row r="710" spans="4:11" s="739" customFormat="1" x14ac:dyDescent="0.2">
      <c r="D710" s="740"/>
      <c r="F710" s="741"/>
      <c r="G710" s="741"/>
      <c r="H710" s="741"/>
      <c r="I710" s="741"/>
      <c r="J710" s="741"/>
      <c r="K710" s="742"/>
    </row>
    <row r="711" spans="4:11" s="739" customFormat="1" x14ac:dyDescent="0.2">
      <c r="D711" s="740"/>
      <c r="F711" s="741"/>
      <c r="G711" s="741"/>
      <c r="H711" s="741"/>
      <c r="I711" s="741"/>
      <c r="J711" s="741"/>
      <c r="K711" s="742"/>
    </row>
    <row r="712" spans="4:11" s="739" customFormat="1" x14ac:dyDescent="0.2">
      <c r="D712" s="740"/>
      <c r="F712" s="741"/>
      <c r="G712" s="741"/>
      <c r="H712" s="741"/>
      <c r="I712" s="741"/>
      <c r="J712" s="741"/>
      <c r="K712" s="742"/>
    </row>
    <row r="713" spans="4:11" s="739" customFormat="1" x14ac:dyDescent="0.2">
      <c r="D713" s="740"/>
      <c r="F713" s="741"/>
      <c r="G713" s="741"/>
      <c r="H713" s="741"/>
      <c r="I713" s="741"/>
      <c r="J713" s="741"/>
      <c r="K713" s="742"/>
    </row>
    <row r="714" spans="4:11" s="739" customFormat="1" x14ac:dyDescent="0.2">
      <c r="D714" s="740"/>
      <c r="F714" s="741"/>
      <c r="G714" s="741"/>
      <c r="H714" s="741"/>
      <c r="I714" s="741"/>
      <c r="J714" s="741"/>
      <c r="K714" s="742"/>
    </row>
    <row r="715" spans="4:11" s="739" customFormat="1" x14ac:dyDescent="0.2">
      <c r="D715" s="740"/>
      <c r="F715" s="741"/>
      <c r="G715" s="741"/>
      <c r="H715" s="741"/>
      <c r="I715" s="741"/>
      <c r="J715" s="741"/>
      <c r="K715" s="742"/>
    </row>
    <row r="716" spans="4:11" s="739" customFormat="1" x14ac:dyDescent="0.2">
      <c r="D716" s="740"/>
      <c r="F716" s="741"/>
      <c r="G716" s="741"/>
      <c r="H716" s="741"/>
      <c r="I716" s="741"/>
      <c r="J716" s="741"/>
      <c r="K716" s="742"/>
    </row>
    <row r="717" spans="4:11" s="739" customFormat="1" x14ac:dyDescent="0.2">
      <c r="D717" s="740"/>
      <c r="F717" s="741"/>
      <c r="G717" s="741"/>
      <c r="H717" s="741"/>
      <c r="I717" s="741"/>
      <c r="J717" s="741"/>
      <c r="K717" s="742"/>
    </row>
    <row r="718" spans="4:11" s="739" customFormat="1" x14ac:dyDescent="0.2">
      <c r="D718" s="740"/>
      <c r="F718" s="741"/>
      <c r="G718" s="741"/>
      <c r="H718" s="741"/>
      <c r="I718" s="741"/>
      <c r="J718" s="741"/>
      <c r="K718" s="742"/>
    </row>
    <row r="719" spans="4:11" s="739" customFormat="1" x14ac:dyDescent="0.2">
      <c r="D719" s="740"/>
      <c r="F719" s="741"/>
      <c r="G719" s="741"/>
      <c r="H719" s="741"/>
      <c r="I719" s="741"/>
      <c r="J719" s="741"/>
      <c r="K719" s="742"/>
    </row>
    <row r="720" spans="4:11" s="739" customFormat="1" x14ac:dyDescent="0.2">
      <c r="D720" s="740"/>
      <c r="F720" s="741"/>
      <c r="G720" s="741"/>
      <c r="H720" s="741"/>
      <c r="I720" s="741"/>
      <c r="J720" s="741"/>
      <c r="K720" s="742"/>
    </row>
    <row r="721" spans="4:11" s="739" customFormat="1" x14ac:dyDescent="0.2">
      <c r="D721" s="740"/>
      <c r="F721" s="741"/>
      <c r="G721" s="741"/>
      <c r="H721" s="741"/>
      <c r="I721" s="741"/>
      <c r="J721" s="741"/>
      <c r="K721" s="742"/>
    </row>
    <row r="722" spans="4:11" s="739" customFormat="1" x14ac:dyDescent="0.2">
      <c r="D722" s="740"/>
      <c r="F722" s="741"/>
      <c r="G722" s="741"/>
      <c r="H722" s="741"/>
      <c r="I722" s="741"/>
      <c r="J722" s="741"/>
      <c r="K722" s="742"/>
    </row>
    <row r="723" spans="4:11" s="739" customFormat="1" x14ac:dyDescent="0.2">
      <c r="D723" s="740"/>
      <c r="F723" s="741"/>
      <c r="G723" s="741"/>
      <c r="H723" s="741"/>
      <c r="I723" s="741"/>
      <c r="J723" s="741"/>
      <c r="K723" s="742"/>
    </row>
    <row r="724" spans="4:11" s="739" customFormat="1" x14ac:dyDescent="0.2">
      <c r="D724" s="740"/>
      <c r="F724" s="741"/>
      <c r="G724" s="741"/>
      <c r="H724" s="741"/>
      <c r="I724" s="741"/>
      <c r="J724" s="741"/>
      <c r="K724" s="742"/>
    </row>
    <row r="725" spans="4:11" s="739" customFormat="1" x14ac:dyDescent="0.2">
      <c r="D725" s="740"/>
      <c r="F725" s="741"/>
      <c r="G725" s="741"/>
      <c r="H725" s="741"/>
      <c r="I725" s="741"/>
      <c r="J725" s="741"/>
      <c r="K725" s="742"/>
    </row>
    <row r="726" spans="4:11" s="739" customFormat="1" x14ac:dyDescent="0.2">
      <c r="D726" s="740"/>
      <c r="F726" s="741"/>
      <c r="G726" s="741"/>
      <c r="H726" s="741"/>
      <c r="I726" s="741"/>
      <c r="J726" s="741"/>
      <c r="K726" s="742"/>
    </row>
    <row r="727" spans="4:11" s="739" customFormat="1" x14ac:dyDescent="0.2">
      <c r="D727" s="740"/>
      <c r="F727" s="741"/>
      <c r="G727" s="741"/>
      <c r="H727" s="741"/>
      <c r="I727" s="741"/>
      <c r="J727" s="741"/>
      <c r="K727" s="742"/>
    </row>
    <row r="728" spans="4:11" s="739" customFormat="1" x14ac:dyDescent="0.2">
      <c r="D728" s="740"/>
      <c r="F728" s="741"/>
      <c r="G728" s="741"/>
      <c r="H728" s="741"/>
      <c r="I728" s="741"/>
      <c r="J728" s="741"/>
      <c r="K728" s="742"/>
    </row>
    <row r="729" spans="4:11" s="739" customFormat="1" x14ac:dyDescent="0.2">
      <c r="D729" s="740"/>
      <c r="F729" s="741"/>
      <c r="G729" s="741"/>
      <c r="H729" s="741"/>
      <c r="I729" s="741"/>
      <c r="J729" s="741"/>
      <c r="K729" s="742"/>
    </row>
    <row r="730" spans="4:11" s="739" customFormat="1" x14ac:dyDescent="0.2">
      <c r="D730" s="740"/>
      <c r="F730" s="741"/>
      <c r="G730" s="741"/>
      <c r="H730" s="741"/>
      <c r="I730" s="741"/>
      <c r="J730" s="741"/>
      <c r="K730" s="742"/>
    </row>
    <row r="731" spans="4:11" s="739" customFormat="1" x14ac:dyDescent="0.2">
      <c r="D731" s="740"/>
      <c r="F731" s="741"/>
      <c r="G731" s="741"/>
      <c r="H731" s="741"/>
      <c r="I731" s="741"/>
      <c r="J731" s="741"/>
      <c r="K731" s="742"/>
    </row>
    <row r="732" spans="4:11" s="739" customFormat="1" x14ac:dyDescent="0.2">
      <c r="D732" s="740"/>
      <c r="F732" s="741"/>
      <c r="G732" s="741"/>
      <c r="H732" s="741"/>
      <c r="I732" s="741"/>
      <c r="J732" s="741"/>
      <c r="K732" s="742"/>
    </row>
    <row r="733" spans="4:11" s="739" customFormat="1" x14ac:dyDescent="0.2">
      <c r="D733" s="740"/>
      <c r="F733" s="741"/>
      <c r="G733" s="741"/>
      <c r="H733" s="741"/>
      <c r="I733" s="741"/>
      <c r="J733" s="741"/>
      <c r="K733" s="742"/>
    </row>
    <row r="734" spans="4:11" s="739" customFormat="1" x14ac:dyDescent="0.2">
      <c r="D734" s="740"/>
      <c r="F734" s="741"/>
      <c r="G734" s="741"/>
      <c r="H734" s="741"/>
      <c r="I734" s="741"/>
      <c r="J734" s="741"/>
      <c r="K734" s="742"/>
    </row>
    <row r="735" spans="4:11" s="739" customFormat="1" x14ac:dyDescent="0.2">
      <c r="D735" s="740"/>
      <c r="F735" s="741"/>
      <c r="G735" s="741"/>
      <c r="H735" s="741"/>
      <c r="I735" s="741"/>
      <c r="J735" s="741"/>
      <c r="K735" s="742"/>
    </row>
    <row r="736" spans="4:11" s="739" customFormat="1" x14ac:dyDescent="0.2">
      <c r="D736" s="740"/>
      <c r="F736" s="741"/>
      <c r="G736" s="741"/>
      <c r="H736" s="741"/>
      <c r="I736" s="741"/>
      <c r="J736" s="741"/>
      <c r="K736" s="742"/>
    </row>
    <row r="737" spans="4:11" s="739" customFormat="1" x14ac:dyDescent="0.2">
      <c r="D737" s="740"/>
      <c r="F737" s="741"/>
      <c r="G737" s="741"/>
      <c r="H737" s="741"/>
      <c r="I737" s="741"/>
      <c r="J737" s="741"/>
      <c r="K737" s="742"/>
    </row>
    <row r="738" spans="4:11" s="739" customFormat="1" x14ac:dyDescent="0.2">
      <c r="D738" s="740"/>
      <c r="F738" s="741"/>
      <c r="G738" s="741"/>
      <c r="H738" s="741"/>
      <c r="I738" s="741"/>
      <c r="J738" s="741"/>
      <c r="K738" s="742"/>
    </row>
    <row r="739" spans="4:11" s="739" customFormat="1" x14ac:dyDescent="0.2">
      <c r="D739" s="740"/>
      <c r="F739" s="741"/>
      <c r="G739" s="741"/>
      <c r="H739" s="741"/>
      <c r="I739" s="741"/>
      <c r="J739" s="741"/>
      <c r="K739" s="742"/>
    </row>
    <row r="740" spans="4:11" s="739" customFormat="1" x14ac:dyDescent="0.2">
      <c r="D740" s="740"/>
      <c r="F740" s="741"/>
      <c r="G740" s="741"/>
      <c r="H740" s="741"/>
      <c r="I740" s="741"/>
      <c r="J740" s="741"/>
      <c r="K740" s="742"/>
    </row>
    <row r="741" spans="4:11" s="739" customFormat="1" x14ac:dyDescent="0.2">
      <c r="D741" s="740"/>
      <c r="F741" s="741"/>
      <c r="G741" s="741"/>
      <c r="H741" s="741"/>
      <c r="I741" s="741"/>
      <c r="J741" s="741"/>
      <c r="K741" s="742"/>
    </row>
    <row r="742" spans="4:11" s="739" customFormat="1" x14ac:dyDescent="0.2">
      <c r="D742" s="740"/>
      <c r="F742" s="741"/>
      <c r="G742" s="741"/>
      <c r="H742" s="741"/>
      <c r="I742" s="741"/>
      <c r="J742" s="741"/>
      <c r="K742" s="742"/>
    </row>
    <row r="743" spans="4:11" s="739" customFormat="1" x14ac:dyDescent="0.2">
      <c r="D743" s="740"/>
      <c r="F743" s="741"/>
      <c r="G743" s="741"/>
      <c r="H743" s="741"/>
      <c r="I743" s="741"/>
      <c r="J743" s="741"/>
      <c r="K743" s="742"/>
    </row>
    <row r="744" spans="4:11" s="739" customFormat="1" x14ac:dyDescent="0.2">
      <c r="D744" s="740"/>
      <c r="F744" s="741"/>
      <c r="G744" s="741"/>
      <c r="H744" s="741"/>
      <c r="I744" s="741"/>
      <c r="J744" s="741"/>
      <c r="K744" s="742"/>
    </row>
    <row r="745" spans="4:11" s="739" customFormat="1" x14ac:dyDescent="0.2">
      <c r="D745" s="740"/>
      <c r="F745" s="741"/>
      <c r="G745" s="741"/>
      <c r="H745" s="741"/>
      <c r="I745" s="741"/>
      <c r="J745" s="741"/>
      <c r="K745" s="742"/>
    </row>
    <row r="746" spans="4:11" s="739" customFormat="1" x14ac:dyDescent="0.2">
      <c r="D746" s="740"/>
      <c r="F746" s="741"/>
      <c r="G746" s="741"/>
      <c r="H746" s="741"/>
      <c r="I746" s="741"/>
      <c r="J746" s="741"/>
      <c r="K746" s="742"/>
    </row>
    <row r="747" spans="4:11" s="739" customFormat="1" x14ac:dyDescent="0.2">
      <c r="D747" s="740"/>
      <c r="F747" s="741"/>
      <c r="G747" s="741"/>
      <c r="H747" s="741"/>
      <c r="I747" s="741"/>
      <c r="J747" s="741"/>
      <c r="K747" s="742"/>
    </row>
    <row r="748" spans="4:11" s="739" customFormat="1" x14ac:dyDescent="0.2">
      <c r="D748" s="740"/>
      <c r="F748" s="741"/>
      <c r="G748" s="741"/>
      <c r="H748" s="741"/>
      <c r="I748" s="741"/>
      <c r="J748" s="741"/>
      <c r="K748" s="742"/>
    </row>
    <row r="749" spans="4:11" s="739" customFormat="1" x14ac:dyDescent="0.2">
      <c r="D749" s="740"/>
      <c r="F749" s="741"/>
      <c r="G749" s="741"/>
      <c r="H749" s="741"/>
      <c r="I749" s="741"/>
      <c r="J749" s="741"/>
      <c r="K749" s="742"/>
    </row>
    <row r="750" spans="4:11" s="739" customFormat="1" x14ac:dyDescent="0.2">
      <c r="D750" s="740"/>
      <c r="F750" s="741"/>
      <c r="G750" s="741"/>
      <c r="H750" s="741"/>
      <c r="I750" s="741"/>
      <c r="J750" s="741"/>
      <c r="K750" s="742"/>
    </row>
    <row r="751" spans="4:11" s="739" customFormat="1" x14ac:dyDescent="0.2">
      <c r="D751" s="740"/>
      <c r="F751" s="741"/>
      <c r="G751" s="741"/>
      <c r="H751" s="741"/>
      <c r="I751" s="741"/>
      <c r="J751" s="741"/>
      <c r="K751" s="742"/>
    </row>
    <row r="752" spans="4:11" s="739" customFormat="1" x14ac:dyDescent="0.2">
      <c r="D752" s="740"/>
      <c r="F752" s="741"/>
      <c r="G752" s="741"/>
      <c r="H752" s="741"/>
      <c r="I752" s="741"/>
      <c r="J752" s="741"/>
      <c r="K752" s="742"/>
    </row>
    <row r="753" spans="4:11" s="739" customFormat="1" x14ac:dyDescent="0.2">
      <c r="D753" s="740"/>
      <c r="F753" s="741"/>
      <c r="G753" s="741"/>
      <c r="H753" s="741"/>
      <c r="I753" s="741"/>
      <c r="J753" s="741"/>
      <c r="K753" s="742"/>
    </row>
    <row r="754" spans="4:11" s="739" customFormat="1" x14ac:dyDescent="0.2">
      <c r="D754" s="740"/>
      <c r="F754" s="741"/>
      <c r="G754" s="741"/>
      <c r="H754" s="741"/>
      <c r="I754" s="741"/>
      <c r="J754" s="741"/>
      <c r="K754" s="742"/>
    </row>
    <row r="755" spans="4:11" s="739" customFormat="1" x14ac:dyDescent="0.2">
      <c r="D755" s="740"/>
      <c r="F755" s="741"/>
      <c r="G755" s="741"/>
      <c r="H755" s="741"/>
      <c r="I755" s="741"/>
      <c r="J755" s="741"/>
      <c r="K755" s="742"/>
    </row>
    <row r="756" spans="4:11" s="739" customFormat="1" x14ac:dyDescent="0.2">
      <c r="D756" s="740"/>
      <c r="F756" s="741"/>
      <c r="G756" s="741"/>
      <c r="H756" s="741"/>
      <c r="I756" s="741"/>
      <c r="J756" s="741"/>
      <c r="K756" s="742"/>
    </row>
    <row r="757" spans="4:11" s="739" customFormat="1" x14ac:dyDescent="0.2">
      <c r="D757" s="740"/>
      <c r="F757" s="741"/>
      <c r="G757" s="741"/>
      <c r="H757" s="741"/>
      <c r="I757" s="741"/>
      <c r="J757" s="741"/>
      <c r="K757" s="742"/>
    </row>
    <row r="758" spans="4:11" s="739" customFormat="1" x14ac:dyDescent="0.2">
      <c r="D758" s="740"/>
      <c r="F758" s="741"/>
      <c r="G758" s="741"/>
      <c r="H758" s="741"/>
      <c r="I758" s="741"/>
      <c r="J758" s="741"/>
      <c r="K758" s="742"/>
    </row>
    <row r="759" spans="4:11" s="739" customFormat="1" x14ac:dyDescent="0.2">
      <c r="D759" s="740"/>
      <c r="F759" s="741"/>
      <c r="G759" s="741"/>
      <c r="H759" s="741"/>
      <c r="I759" s="741"/>
      <c r="J759" s="741"/>
      <c r="K759" s="742"/>
    </row>
    <row r="760" spans="4:11" s="739" customFormat="1" x14ac:dyDescent="0.2">
      <c r="D760" s="740"/>
      <c r="F760" s="741"/>
      <c r="G760" s="741"/>
      <c r="H760" s="741"/>
      <c r="I760" s="741"/>
      <c r="J760" s="741"/>
      <c r="K760" s="742"/>
    </row>
    <row r="761" spans="4:11" s="739" customFormat="1" x14ac:dyDescent="0.2">
      <c r="D761" s="740"/>
      <c r="F761" s="741"/>
      <c r="G761" s="741"/>
      <c r="H761" s="741"/>
      <c r="I761" s="741"/>
      <c r="J761" s="741"/>
      <c r="K761" s="742"/>
    </row>
    <row r="762" spans="4:11" s="739" customFormat="1" x14ac:dyDescent="0.2">
      <c r="D762" s="740"/>
      <c r="F762" s="741"/>
      <c r="G762" s="741"/>
      <c r="H762" s="741"/>
      <c r="I762" s="741"/>
      <c r="J762" s="741"/>
      <c r="K762" s="742"/>
    </row>
    <row r="763" spans="4:11" s="739" customFormat="1" x14ac:dyDescent="0.2">
      <c r="D763" s="740"/>
      <c r="F763" s="741"/>
      <c r="G763" s="741"/>
      <c r="H763" s="741"/>
      <c r="I763" s="741"/>
      <c r="J763" s="741"/>
      <c r="K763" s="742"/>
    </row>
    <row r="764" spans="4:11" s="739" customFormat="1" x14ac:dyDescent="0.2">
      <c r="D764" s="740"/>
      <c r="F764" s="741"/>
      <c r="G764" s="741"/>
      <c r="H764" s="741"/>
      <c r="I764" s="741"/>
      <c r="J764" s="741"/>
      <c r="K764" s="742"/>
    </row>
    <row r="765" spans="4:11" s="739" customFormat="1" x14ac:dyDescent="0.2">
      <c r="D765" s="740"/>
      <c r="F765" s="741"/>
      <c r="G765" s="741"/>
      <c r="H765" s="741"/>
      <c r="I765" s="741"/>
      <c r="J765" s="741"/>
      <c r="K765" s="742"/>
    </row>
    <row r="766" spans="4:11" s="739" customFormat="1" x14ac:dyDescent="0.2">
      <c r="D766" s="740"/>
      <c r="F766" s="741"/>
      <c r="G766" s="741"/>
      <c r="H766" s="741"/>
      <c r="I766" s="741"/>
      <c r="J766" s="741"/>
      <c r="K766" s="742"/>
    </row>
    <row r="767" spans="4:11" s="739" customFormat="1" x14ac:dyDescent="0.2">
      <c r="D767" s="740"/>
      <c r="F767" s="741"/>
      <c r="G767" s="741"/>
      <c r="H767" s="741"/>
      <c r="I767" s="741"/>
      <c r="J767" s="741"/>
      <c r="K767" s="742"/>
    </row>
    <row r="768" spans="4:11" s="739" customFormat="1" x14ac:dyDescent="0.2">
      <c r="D768" s="740"/>
      <c r="F768" s="741"/>
      <c r="G768" s="741"/>
      <c r="H768" s="741"/>
      <c r="I768" s="741"/>
      <c r="J768" s="741"/>
      <c r="K768" s="742"/>
    </row>
    <row r="769" spans="4:11" s="739" customFormat="1" x14ac:dyDescent="0.2">
      <c r="D769" s="740"/>
      <c r="F769" s="741"/>
      <c r="G769" s="741"/>
      <c r="H769" s="741"/>
      <c r="I769" s="741"/>
      <c r="J769" s="741"/>
      <c r="K769" s="742"/>
    </row>
    <row r="770" spans="4:11" s="739" customFormat="1" x14ac:dyDescent="0.2">
      <c r="D770" s="740"/>
      <c r="F770" s="741"/>
      <c r="G770" s="741"/>
      <c r="H770" s="741"/>
      <c r="I770" s="741"/>
      <c r="J770" s="741"/>
      <c r="K770" s="742"/>
    </row>
    <row r="771" spans="4:11" s="739" customFormat="1" x14ac:dyDescent="0.2">
      <c r="D771" s="740"/>
      <c r="F771" s="741"/>
      <c r="G771" s="741"/>
      <c r="H771" s="741"/>
      <c r="I771" s="741"/>
      <c r="J771" s="741"/>
      <c r="K771" s="742"/>
    </row>
    <row r="772" spans="4:11" s="739" customFormat="1" x14ac:dyDescent="0.2">
      <c r="D772" s="740"/>
      <c r="F772" s="741"/>
      <c r="G772" s="741"/>
      <c r="H772" s="741"/>
      <c r="I772" s="741"/>
      <c r="J772" s="741"/>
      <c r="K772" s="742"/>
    </row>
    <row r="773" spans="4:11" s="739" customFormat="1" x14ac:dyDescent="0.2">
      <c r="D773" s="740"/>
      <c r="F773" s="741"/>
      <c r="G773" s="741"/>
      <c r="H773" s="741"/>
      <c r="I773" s="741"/>
      <c r="J773" s="741"/>
      <c r="K773" s="742"/>
    </row>
    <row r="774" spans="4:11" s="739" customFormat="1" x14ac:dyDescent="0.2">
      <c r="D774" s="740"/>
      <c r="F774" s="741"/>
      <c r="G774" s="741"/>
      <c r="H774" s="741"/>
      <c r="I774" s="741"/>
      <c r="J774" s="741"/>
      <c r="K774" s="742"/>
    </row>
    <row r="775" spans="4:11" s="739" customFormat="1" x14ac:dyDescent="0.2">
      <c r="D775" s="740"/>
      <c r="F775" s="741"/>
      <c r="G775" s="741"/>
      <c r="H775" s="741"/>
      <c r="I775" s="741"/>
      <c r="J775" s="741"/>
      <c r="K775" s="742"/>
    </row>
    <row r="776" spans="4:11" s="739" customFormat="1" x14ac:dyDescent="0.2">
      <c r="D776" s="740"/>
      <c r="F776" s="741"/>
      <c r="G776" s="741"/>
      <c r="H776" s="741"/>
      <c r="I776" s="741"/>
      <c r="J776" s="741"/>
      <c r="K776" s="742"/>
    </row>
    <row r="777" spans="4:11" s="739" customFormat="1" x14ac:dyDescent="0.2">
      <c r="D777" s="740"/>
      <c r="F777" s="741"/>
      <c r="G777" s="741"/>
      <c r="H777" s="741"/>
      <c r="I777" s="741"/>
      <c r="J777" s="741"/>
      <c r="K777" s="742"/>
    </row>
    <row r="778" spans="4:11" s="739" customFormat="1" x14ac:dyDescent="0.2">
      <c r="D778" s="740"/>
      <c r="F778" s="741"/>
      <c r="G778" s="741"/>
      <c r="H778" s="741"/>
      <c r="I778" s="741"/>
      <c r="J778" s="741"/>
      <c r="K778" s="742"/>
    </row>
    <row r="779" spans="4:11" s="739" customFormat="1" x14ac:dyDescent="0.2">
      <c r="D779" s="740"/>
      <c r="F779" s="741"/>
      <c r="G779" s="741"/>
      <c r="H779" s="741"/>
      <c r="I779" s="741"/>
      <c r="J779" s="741"/>
      <c r="K779" s="742"/>
    </row>
    <row r="780" spans="4:11" s="739" customFormat="1" x14ac:dyDescent="0.2">
      <c r="D780" s="740"/>
      <c r="F780" s="741"/>
      <c r="G780" s="741"/>
      <c r="H780" s="741"/>
      <c r="I780" s="741"/>
      <c r="J780" s="741"/>
      <c r="K780" s="742"/>
    </row>
    <row r="781" spans="4:11" s="739" customFormat="1" x14ac:dyDescent="0.2">
      <c r="D781" s="740"/>
      <c r="F781" s="741"/>
      <c r="G781" s="741"/>
      <c r="H781" s="741"/>
      <c r="I781" s="741"/>
      <c r="J781" s="741"/>
      <c r="K781" s="742"/>
    </row>
    <row r="782" spans="4:11" s="739" customFormat="1" x14ac:dyDescent="0.2">
      <c r="D782" s="740"/>
      <c r="F782" s="741"/>
      <c r="G782" s="741"/>
      <c r="H782" s="741"/>
      <c r="I782" s="741"/>
      <c r="J782" s="741"/>
      <c r="K782" s="742"/>
    </row>
    <row r="783" spans="4:11" s="739" customFormat="1" x14ac:dyDescent="0.2">
      <c r="D783" s="740"/>
      <c r="F783" s="741"/>
      <c r="G783" s="741"/>
      <c r="H783" s="741"/>
      <c r="I783" s="741"/>
      <c r="J783" s="741"/>
      <c r="K783" s="742"/>
    </row>
    <row r="784" spans="4:11" s="739" customFormat="1" x14ac:dyDescent="0.2">
      <c r="D784" s="740"/>
      <c r="F784" s="741"/>
      <c r="G784" s="741"/>
      <c r="H784" s="741"/>
      <c r="I784" s="741"/>
      <c r="J784" s="741"/>
      <c r="K784" s="742"/>
    </row>
    <row r="785" spans="4:11" s="739" customFormat="1" x14ac:dyDescent="0.2">
      <c r="D785" s="740"/>
      <c r="F785" s="741"/>
      <c r="G785" s="741"/>
      <c r="H785" s="741"/>
      <c r="I785" s="741"/>
      <c r="J785" s="741"/>
      <c r="K785" s="742"/>
    </row>
    <row r="786" spans="4:11" s="739" customFormat="1" x14ac:dyDescent="0.2">
      <c r="D786" s="740"/>
      <c r="F786" s="741"/>
      <c r="G786" s="741"/>
      <c r="H786" s="741"/>
      <c r="I786" s="741"/>
      <c r="J786" s="741"/>
      <c r="K786" s="742"/>
    </row>
    <row r="787" spans="4:11" s="739" customFormat="1" x14ac:dyDescent="0.2">
      <c r="D787" s="740"/>
      <c r="F787" s="741"/>
      <c r="G787" s="741"/>
      <c r="H787" s="741"/>
      <c r="I787" s="741"/>
      <c r="J787" s="741"/>
      <c r="K787" s="742"/>
    </row>
    <row r="788" spans="4:11" s="739" customFormat="1" x14ac:dyDescent="0.2">
      <c r="D788" s="740"/>
      <c r="F788" s="741"/>
      <c r="G788" s="741"/>
      <c r="H788" s="741"/>
      <c r="I788" s="741"/>
      <c r="J788" s="741"/>
      <c r="K788" s="742"/>
    </row>
    <row r="789" spans="4:11" s="739" customFormat="1" x14ac:dyDescent="0.2">
      <c r="D789" s="740"/>
      <c r="F789" s="741"/>
      <c r="G789" s="741"/>
      <c r="H789" s="741"/>
      <c r="I789" s="741"/>
      <c r="J789" s="741"/>
      <c r="K789" s="742"/>
    </row>
    <row r="790" spans="4:11" s="739" customFormat="1" x14ac:dyDescent="0.2">
      <c r="D790" s="740"/>
      <c r="F790" s="741"/>
      <c r="G790" s="741"/>
      <c r="H790" s="741"/>
      <c r="I790" s="741"/>
      <c r="J790" s="741"/>
      <c r="K790" s="742"/>
    </row>
    <row r="791" spans="4:11" s="739" customFormat="1" x14ac:dyDescent="0.2">
      <c r="D791" s="740"/>
      <c r="F791" s="741"/>
      <c r="G791" s="741"/>
      <c r="H791" s="741"/>
      <c r="I791" s="741"/>
      <c r="J791" s="741"/>
      <c r="K791" s="742"/>
    </row>
    <row r="792" spans="4:11" s="739" customFormat="1" x14ac:dyDescent="0.2">
      <c r="D792" s="740"/>
      <c r="F792" s="741"/>
      <c r="G792" s="741"/>
      <c r="H792" s="741"/>
      <c r="I792" s="741"/>
      <c r="J792" s="741"/>
      <c r="K792" s="742"/>
    </row>
    <row r="793" spans="4:11" s="739" customFormat="1" x14ac:dyDescent="0.2">
      <c r="D793" s="740"/>
      <c r="F793" s="741"/>
      <c r="G793" s="741"/>
      <c r="H793" s="741"/>
      <c r="I793" s="741"/>
      <c r="J793" s="741"/>
      <c r="K793" s="742"/>
    </row>
    <row r="794" spans="4:11" s="739" customFormat="1" x14ac:dyDescent="0.2">
      <c r="D794" s="740"/>
      <c r="F794" s="741"/>
      <c r="G794" s="741"/>
      <c r="H794" s="741"/>
      <c r="I794" s="741"/>
      <c r="J794" s="741"/>
      <c r="K794" s="742"/>
    </row>
    <row r="795" spans="4:11" s="739" customFormat="1" x14ac:dyDescent="0.2">
      <c r="D795" s="740"/>
      <c r="F795" s="741"/>
      <c r="G795" s="741"/>
      <c r="H795" s="741"/>
      <c r="I795" s="741"/>
      <c r="J795" s="741"/>
      <c r="K795" s="742"/>
    </row>
    <row r="796" spans="4:11" s="739" customFormat="1" x14ac:dyDescent="0.2">
      <c r="D796" s="740"/>
      <c r="F796" s="741"/>
      <c r="G796" s="741"/>
      <c r="H796" s="741"/>
      <c r="I796" s="741"/>
      <c r="J796" s="741"/>
      <c r="K796" s="742"/>
    </row>
    <row r="797" spans="4:11" s="739" customFormat="1" x14ac:dyDescent="0.2">
      <c r="D797" s="740"/>
      <c r="F797" s="741"/>
      <c r="G797" s="741"/>
      <c r="H797" s="741"/>
      <c r="I797" s="741"/>
      <c r="J797" s="741"/>
      <c r="K797" s="742"/>
    </row>
    <row r="798" spans="4:11" s="739" customFormat="1" x14ac:dyDescent="0.2">
      <c r="D798" s="740"/>
      <c r="F798" s="741"/>
      <c r="G798" s="741"/>
      <c r="H798" s="741"/>
      <c r="I798" s="741"/>
      <c r="J798" s="741"/>
      <c r="K798" s="742"/>
    </row>
    <row r="799" spans="4:11" s="739" customFormat="1" x14ac:dyDescent="0.2">
      <c r="D799" s="740"/>
      <c r="F799" s="741"/>
      <c r="G799" s="741"/>
      <c r="H799" s="741"/>
      <c r="I799" s="741"/>
      <c r="J799" s="741"/>
      <c r="K799" s="742"/>
    </row>
    <row r="800" spans="4:11" s="739" customFormat="1" x14ac:dyDescent="0.2">
      <c r="D800" s="740"/>
      <c r="F800" s="741"/>
      <c r="G800" s="741"/>
      <c r="H800" s="741"/>
      <c r="I800" s="741"/>
      <c r="J800" s="741"/>
      <c r="K800" s="742"/>
    </row>
    <row r="801" spans="4:11" s="739" customFormat="1" x14ac:dyDescent="0.2">
      <c r="D801" s="740"/>
      <c r="F801" s="741"/>
      <c r="G801" s="741"/>
      <c r="H801" s="741"/>
      <c r="I801" s="741"/>
      <c r="J801" s="741"/>
      <c r="K801" s="742"/>
    </row>
    <row r="802" spans="4:11" s="739" customFormat="1" x14ac:dyDescent="0.2">
      <c r="D802" s="740"/>
      <c r="F802" s="741"/>
      <c r="G802" s="741"/>
      <c r="H802" s="741"/>
      <c r="I802" s="741"/>
      <c r="J802" s="741"/>
      <c r="K802" s="742"/>
    </row>
    <row r="803" spans="4:11" s="739" customFormat="1" x14ac:dyDescent="0.2">
      <c r="D803" s="740"/>
      <c r="F803" s="741"/>
      <c r="G803" s="741"/>
      <c r="H803" s="741"/>
      <c r="I803" s="741"/>
      <c r="J803" s="741"/>
      <c r="K803" s="742"/>
    </row>
    <row r="804" spans="4:11" s="739" customFormat="1" x14ac:dyDescent="0.2">
      <c r="D804" s="740"/>
      <c r="F804" s="741"/>
      <c r="G804" s="741"/>
      <c r="H804" s="741"/>
      <c r="I804" s="741"/>
      <c r="J804" s="741"/>
      <c r="K804" s="742"/>
    </row>
    <row r="805" spans="4:11" s="739" customFormat="1" x14ac:dyDescent="0.2">
      <c r="D805" s="740"/>
      <c r="F805" s="741"/>
      <c r="G805" s="741"/>
      <c r="H805" s="741"/>
      <c r="I805" s="741"/>
      <c r="J805" s="741"/>
      <c r="K805" s="742"/>
    </row>
    <row r="806" spans="4:11" s="739" customFormat="1" x14ac:dyDescent="0.2">
      <c r="D806" s="740"/>
      <c r="F806" s="741"/>
      <c r="G806" s="741"/>
      <c r="H806" s="741"/>
      <c r="I806" s="741"/>
      <c r="J806" s="741"/>
      <c r="K806" s="742"/>
    </row>
    <row r="807" spans="4:11" s="739" customFormat="1" x14ac:dyDescent="0.2">
      <c r="D807" s="740"/>
      <c r="F807" s="741"/>
      <c r="G807" s="741"/>
      <c r="H807" s="741"/>
      <c r="I807" s="741"/>
      <c r="J807" s="741"/>
      <c r="K807" s="742"/>
    </row>
    <row r="808" spans="4:11" s="739" customFormat="1" x14ac:dyDescent="0.2">
      <c r="D808" s="740"/>
      <c r="F808" s="741"/>
      <c r="G808" s="741"/>
      <c r="H808" s="741"/>
      <c r="I808" s="741"/>
      <c r="J808" s="741"/>
      <c r="K808" s="742"/>
    </row>
    <row r="809" spans="4:11" s="739" customFormat="1" x14ac:dyDescent="0.2">
      <c r="D809" s="740"/>
      <c r="F809" s="741"/>
      <c r="G809" s="741"/>
      <c r="H809" s="741"/>
      <c r="I809" s="741"/>
      <c r="J809" s="741"/>
      <c r="K809" s="742"/>
    </row>
    <row r="810" spans="4:11" s="739" customFormat="1" x14ac:dyDescent="0.2">
      <c r="D810" s="740"/>
      <c r="F810" s="741"/>
      <c r="G810" s="741"/>
      <c r="H810" s="741"/>
      <c r="I810" s="741"/>
      <c r="J810" s="741"/>
      <c r="K810" s="742"/>
    </row>
    <row r="811" spans="4:11" s="739" customFormat="1" x14ac:dyDescent="0.2">
      <c r="D811" s="740"/>
      <c r="F811" s="741"/>
      <c r="G811" s="741"/>
      <c r="H811" s="741"/>
      <c r="I811" s="741"/>
      <c r="J811" s="741"/>
      <c r="K811" s="742"/>
    </row>
    <row r="812" spans="4:11" s="739" customFormat="1" x14ac:dyDescent="0.2">
      <c r="D812" s="740"/>
      <c r="F812" s="741"/>
      <c r="G812" s="741"/>
      <c r="H812" s="741"/>
      <c r="I812" s="741"/>
      <c r="J812" s="741"/>
      <c r="K812" s="742"/>
    </row>
    <row r="813" spans="4:11" s="739" customFormat="1" x14ac:dyDescent="0.2">
      <c r="D813" s="740"/>
      <c r="F813" s="741"/>
      <c r="G813" s="741"/>
      <c r="H813" s="741"/>
      <c r="I813" s="741"/>
      <c r="J813" s="741"/>
      <c r="K813" s="742"/>
    </row>
    <row r="814" spans="4:11" s="739" customFormat="1" x14ac:dyDescent="0.2">
      <c r="D814" s="740"/>
      <c r="F814" s="741"/>
      <c r="G814" s="741"/>
      <c r="H814" s="741"/>
      <c r="I814" s="741"/>
      <c r="J814" s="741"/>
      <c r="K814" s="742"/>
    </row>
    <row r="815" spans="4:11" s="739" customFormat="1" x14ac:dyDescent="0.2">
      <c r="D815" s="740"/>
      <c r="F815" s="741"/>
      <c r="G815" s="741"/>
      <c r="H815" s="741"/>
      <c r="I815" s="741"/>
      <c r="J815" s="741"/>
      <c r="K815" s="742"/>
    </row>
    <row r="816" spans="4:11" s="739" customFormat="1" x14ac:dyDescent="0.2">
      <c r="D816" s="740"/>
      <c r="F816" s="741"/>
      <c r="G816" s="741"/>
      <c r="H816" s="741"/>
      <c r="I816" s="741"/>
      <c r="J816" s="741"/>
      <c r="K816" s="742"/>
    </row>
    <row r="817" spans="4:11" s="739" customFormat="1" x14ac:dyDescent="0.2">
      <c r="D817" s="740"/>
      <c r="F817" s="741"/>
      <c r="G817" s="741"/>
      <c r="H817" s="741"/>
      <c r="I817" s="741"/>
      <c r="J817" s="741"/>
      <c r="K817" s="742"/>
    </row>
    <row r="818" spans="4:11" s="739" customFormat="1" x14ac:dyDescent="0.2">
      <c r="D818" s="740"/>
      <c r="F818" s="741"/>
      <c r="G818" s="741"/>
      <c r="H818" s="741"/>
      <c r="I818" s="741"/>
      <c r="J818" s="741"/>
      <c r="K818" s="742"/>
    </row>
    <row r="819" spans="4:11" s="739" customFormat="1" x14ac:dyDescent="0.2">
      <c r="D819" s="740"/>
      <c r="F819" s="741"/>
      <c r="G819" s="741"/>
      <c r="H819" s="741"/>
      <c r="I819" s="741"/>
      <c r="J819" s="741"/>
      <c r="K819" s="742"/>
    </row>
    <row r="820" spans="4:11" s="739" customFormat="1" x14ac:dyDescent="0.2">
      <c r="D820" s="740"/>
      <c r="F820" s="741"/>
      <c r="G820" s="741"/>
      <c r="H820" s="741"/>
      <c r="I820" s="741"/>
      <c r="J820" s="741"/>
      <c r="K820" s="742"/>
    </row>
    <row r="821" spans="4:11" s="739" customFormat="1" x14ac:dyDescent="0.2">
      <c r="D821" s="740"/>
      <c r="F821" s="741"/>
      <c r="G821" s="741"/>
      <c r="H821" s="741"/>
      <c r="I821" s="741"/>
      <c r="J821" s="741"/>
      <c r="K821" s="742"/>
    </row>
    <row r="822" spans="4:11" s="739" customFormat="1" x14ac:dyDescent="0.2">
      <c r="D822" s="740"/>
      <c r="F822" s="741"/>
      <c r="G822" s="741"/>
      <c r="H822" s="741"/>
      <c r="I822" s="741"/>
      <c r="J822" s="741"/>
      <c r="K822" s="742"/>
    </row>
    <row r="823" spans="4:11" s="739" customFormat="1" x14ac:dyDescent="0.2">
      <c r="D823" s="740"/>
      <c r="F823" s="741"/>
      <c r="G823" s="741"/>
      <c r="H823" s="741"/>
      <c r="I823" s="741"/>
      <c r="J823" s="741"/>
      <c r="K823" s="742"/>
    </row>
    <row r="824" spans="4:11" s="739" customFormat="1" x14ac:dyDescent="0.2">
      <c r="D824" s="740"/>
      <c r="F824" s="741"/>
      <c r="G824" s="741"/>
      <c r="H824" s="741"/>
      <c r="I824" s="741"/>
      <c r="J824" s="741"/>
      <c r="K824" s="742"/>
    </row>
    <row r="825" spans="4:11" s="739" customFormat="1" x14ac:dyDescent="0.2">
      <c r="D825" s="740"/>
      <c r="F825" s="741"/>
      <c r="G825" s="741"/>
      <c r="H825" s="741"/>
      <c r="I825" s="741"/>
      <c r="J825" s="741"/>
      <c r="K825" s="742"/>
    </row>
    <row r="826" spans="4:11" s="739" customFormat="1" x14ac:dyDescent="0.2">
      <c r="D826" s="740"/>
      <c r="F826" s="741"/>
      <c r="G826" s="741"/>
      <c r="H826" s="741"/>
      <c r="I826" s="741"/>
      <c r="J826" s="741"/>
      <c r="K826" s="742"/>
    </row>
    <row r="827" spans="4:11" s="739" customFormat="1" x14ac:dyDescent="0.2">
      <c r="D827" s="740"/>
      <c r="F827" s="741"/>
      <c r="G827" s="741"/>
      <c r="H827" s="741"/>
      <c r="I827" s="741"/>
      <c r="J827" s="741"/>
      <c r="K827" s="742"/>
    </row>
    <row r="828" spans="4:11" s="739" customFormat="1" x14ac:dyDescent="0.2">
      <c r="D828" s="740"/>
      <c r="F828" s="741"/>
      <c r="G828" s="741"/>
      <c r="H828" s="741"/>
      <c r="I828" s="741"/>
      <c r="J828" s="741"/>
      <c r="K828" s="742"/>
    </row>
    <row r="829" spans="4:11" s="739" customFormat="1" x14ac:dyDescent="0.2">
      <c r="D829" s="740"/>
      <c r="F829" s="741"/>
      <c r="G829" s="741"/>
      <c r="H829" s="741"/>
      <c r="I829" s="741"/>
      <c r="J829" s="741"/>
      <c r="K829" s="742"/>
    </row>
    <row r="830" spans="4:11" s="739" customFormat="1" x14ac:dyDescent="0.2">
      <c r="D830" s="740"/>
      <c r="F830" s="741"/>
      <c r="G830" s="741"/>
      <c r="H830" s="741"/>
      <c r="I830" s="741"/>
      <c r="J830" s="741"/>
      <c r="K830" s="742"/>
    </row>
    <row r="831" spans="4:11" s="739" customFormat="1" x14ac:dyDescent="0.2">
      <c r="D831" s="740"/>
      <c r="F831" s="741"/>
      <c r="G831" s="741"/>
      <c r="H831" s="741"/>
      <c r="I831" s="741"/>
      <c r="J831" s="741"/>
      <c r="K831" s="742"/>
    </row>
    <row r="832" spans="4:11" s="739" customFormat="1" x14ac:dyDescent="0.2">
      <c r="D832" s="740"/>
      <c r="F832" s="741"/>
      <c r="G832" s="741"/>
      <c r="H832" s="741"/>
      <c r="I832" s="741"/>
      <c r="J832" s="741"/>
      <c r="K832" s="742"/>
    </row>
    <row r="833" spans="4:11" s="739" customFormat="1" x14ac:dyDescent="0.2">
      <c r="D833" s="740"/>
      <c r="F833" s="741"/>
      <c r="G833" s="741"/>
      <c r="H833" s="741"/>
      <c r="I833" s="741"/>
      <c r="J833" s="741"/>
      <c r="K833" s="742"/>
    </row>
    <row r="834" spans="4:11" s="739" customFormat="1" x14ac:dyDescent="0.2">
      <c r="D834" s="740"/>
      <c r="F834" s="741"/>
      <c r="G834" s="741"/>
      <c r="H834" s="741"/>
      <c r="I834" s="741"/>
      <c r="J834" s="741"/>
      <c r="K834" s="742"/>
    </row>
    <row r="835" spans="4:11" s="739" customFormat="1" x14ac:dyDescent="0.2">
      <c r="D835" s="740"/>
      <c r="F835" s="741"/>
      <c r="G835" s="741"/>
      <c r="H835" s="741"/>
      <c r="I835" s="741"/>
      <c r="J835" s="741"/>
      <c r="K835" s="742"/>
    </row>
    <row r="836" spans="4:11" s="739" customFormat="1" x14ac:dyDescent="0.2">
      <c r="D836" s="740"/>
      <c r="F836" s="741"/>
      <c r="G836" s="741"/>
      <c r="H836" s="741"/>
      <c r="I836" s="741"/>
      <c r="J836" s="741"/>
      <c r="K836" s="742"/>
    </row>
    <row r="837" spans="4:11" s="739" customFormat="1" x14ac:dyDescent="0.2">
      <c r="D837" s="740"/>
      <c r="F837" s="741"/>
      <c r="G837" s="741"/>
      <c r="H837" s="741"/>
      <c r="I837" s="741"/>
      <c r="J837" s="741"/>
      <c r="K837" s="742"/>
    </row>
    <row r="838" spans="4:11" s="739" customFormat="1" x14ac:dyDescent="0.2">
      <c r="D838" s="740"/>
      <c r="F838" s="741"/>
      <c r="G838" s="741"/>
      <c r="H838" s="741"/>
      <c r="I838" s="741"/>
      <c r="J838" s="741"/>
      <c r="K838" s="742"/>
    </row>
    <row r="839" spans="4:11" s="739" customFormat="1" x14ac:dyDescent="0.2">
      <c r="D839" s="740"/>
      <c r="F839" s="741"/>
      <c r="G839" s="741"/>
      <c r="H839" s="741"/>
      <c r="I839" s="741"/>
      <c r="J839" s="741"/>
      <c r="K839" s="742"/>
    </row>
    <row r="840" spans="4:11" s="739" customFormat="1" x14ac:dyDescent="0.2">
      <c r="D840" s="740"/>
      <c r="F840" s="741"/>
      <c r="G840" s="741"/>
      <c r="H840" s="741"/>
      <c r="I840" s="741"/>
      <c r="J840" s="741"/>
      <c r="K840" s="742"/>
    </row>
    <row r="841" spans="4:11" s="739" customFormat="1" x14ac:dyDescent="0.2">
      <c r="D841" s="740"/>
      <c r="F841" s="741"/>
      <c r="G841" s="741"/>
      <c r="H841" s="741"/>
      <c r="I841" s="741"/>
      <c r="J841" s="741"/>
      <c r="K841" s="742"/>
    </row>
    <row r="842" spans="4:11" s="739" customFormat="1" x14ac:dyDescent="0.2">
      <c r="D842" s="740"/>
      <c r="F842" s="741"/>
      <c r="G842" s="741"/>
      <c r="H842" s="741"/>
      <c r="I842" s="741"/>
      <c r="J842" s="741"/>
      <c r="K842" s="742"/>
    </row>
    <row r="843" spans="4:11" s="739" customFormat="1" x14ac:dyDescent="0.2">
      <c r="D843" s="740"/>
      <c r="F843" s="741"/>
      <c r="G843" s="741"/>
      <c r="H843" s="741"/>
      <c r="I843" s="741"/>
      <c r="J843" s="741"/>
      <c r="K843" s="742"/>
    </row>
    <row r="844" spans="4:11" s="739" customFormat="1" x14ac:dyDescent="0.2">
      <c r="D844" s="740"/>
      <c r="F844" s="741"/>
      <c r="G844" s="741"/>
      <c r="H844" s="741"/>
      <c r="I844" s="741"/>
      <c r="J844" s="741"/>
      <c r="K844" s="742"/>
    </row>
    <row r="845" spans="4:11" s="739" customFormat="1" x14ac:dyDescent="0.2">
      <c r="D845" s="740"/>
      <c r="F845" s="741"/>
      <c r="G845" s="741"/>
      <c r="H845" s="741"/>
      <c r="I845" s="741"/>
      <c r="J845" s="741"/>
      <c r="K845" s="742"/>
    </row>
    <row r="846" spans="4:11" s="739" customFormat="1" x14ac:dyDescent="0.2">
      <c r="D846" s="740"/>
      <c r="F846" s="741"/>
      <c r="G846" s="741"/>
      <c r="H846" s="741"/>
      <c r="I846" s="741"/>
      <c r="J846" s="741"/>
      <c r="K846" s="742"/>
    </row>
    <row r="847" spans="4:11" s="739" customFormat="1" x14ac:dyDescent="0.2">
      <c r="D847" s="740"/>
      <c r="F847" s="741"/>
      <c r="G847" s="741"/>
      <c r="H847" s="741"/>
      <c r="I847" s="741"/>
      <c r="J847" s="741"/>
      <c r="K847" s="742"/>
    </row>
    <row r="848" spans="4:11" s="739" customFormat="1" x14ac:dyDescent="0.2">
      <c r="D848" s="740"/>
      <c r="F848" s="741"/>
      <c r="G848" s="741"/>
      <c r="H848" s="741"/>
      <c r="I848" s="741"/>
      <c r="J848" s="741"/>
      <c r="K848" s="742"/>
    </row>
    <row r="849" spans="4:11" s="739" customFormat="1" x14ac:dyDescent="0.2">
      <c r="D849" s="740"/>
      <c r="F849" s="741"/>
      <c r="G849" s="741"/>
      <c r="H849" s="741"/>
      <c r="I849" s="741"/>
      <c r="J849" s="741"/>
      <c r="K849" s="742"/>
    </row>
    <row r="850" spans="4:11" s="739" customFormat="1" x14ac:dyDescent="0.2">
      <c r="D850" s="740"/>
      <c r="F850" s="741"/>
      <c r="G850" s="741"/>
      <c r="H850" s="741"/>
      <c r="I850" s="741"/>
      <c r="J850" s="741"/>
      <c r="K850" s="742"/>
    </row>
    <row r="851" spans="4:11" s="739" customFormat="1" x14ac:dyDescent="0.2">
      <c r="D851" s="740"/>
      <c r="F851" s="741"/>
      <c r="G851" s="741"/>
      <c r="H851" s="741"/>
      <c r="I851" s="741"/>
      <c r="J851" s="741"/>
      <c r="K851" s="742"/>
    </row>
    <row r="852" spans="4:11" s="739" customFormat="1" x14ac:dyDescent="0.2">
      <c r="D852" s="740"/>
      <c r="F852" s="741"/>
      <c r="G852" s="741"/>
      <c r="H852" s="741"/>
      <c r="I852" s="741"/>
      <c r="J852" s="741"/>
      <c r="K852" s="742"/>
    </row>
    <row r="853" spans="4:11" s="739" customFormat="1" x14ac:dyDescent="0.2">
      <c r="D853" s="740"/>
      <c r="F853" s="741"/>
      <c r="G853" s="741"/>
      <c r="H853" s="741"/>
      <c r="I853" s="741"/>
      <c r="J853" s="741"/>
      <c r="K853" s="742"/>
    </row>
    <row r="854" spans="4:11" s="739" customFormat="1" x14ac:dyDescent="0.2">
      <c r="D854" s="740"/>
      <c r="F854" s="741"/>
      <c r="G854" s="741"/>
      <c r="H854" s="741"/>
      <c r="I854" s="741"/>
      <c r="J854" s="741"/>
      <c r="K854" s="742"/>
    </row>
    <row r="855" spans="4:11" s="739" customFormat="1" x14ac:dyDescent="0.2">
      <c r="D855" s="740"/>
      <c r="F855" s="741"/>
      <c r="G855" s="741"/>
      <c r="H855" s="741"/>
      <c r="I855" s="741"/>
      <c r="J855" s="741"/>
      <c r="K855" s="742"/>
    </row>
    <row r="856" spans="4:11" s="739" customFormat="1" x14ac:dyDescent="0.2">
      <c r="D856" s="740"/>
      <c r="F856" s="741"/>
      <c r="G856" s="741"/>
      <c r="H856" s="741"/>
      <c r="I856" s="741"/>
      <c r="J856" s="741"/>
      <c r="K856" s="742"/>
    </row>
    <row r="857" spans="4:11" s="739" customFormat="1" x14ac:dyDescent="0.2">
      <c r="D857" s="740"/>
      <c r="F857" s="741"/>
      <c r="G857" s="741"/>
      <c r="H857" s="741"/>
      <c r="I857" s="741"/>
      <c r="J857" s="741"/>
      <c r="K857" s="742"/>
    </row>
    <row r="858" spans="4:11" s="739" customFormat="1" x14ac:dyDescent="0.2">
      <c r="D858" s="740"/>
      <c r="F858" s="741"/>
      <c r="G858" s="741"/>
      <c r="H858" s="741"/>
      <c r="I858" s="741"/>
      <c r="J858" s="741"/>
      <c r="K858" s="742"/>
    </row>
    <row r="859" spans="4:11" s="739" customFormat="1" x14ac:dyDescent="0.2">
      <c r="D859" s="740"/>
      <c r="F859" s="741"/>
      <c r="G859" s="741"/>
      <c r="H859" s="741"/>
      <c r="I859" s="741"/>
      <c r="J859" s="741"/>
      <c r="K859" s="742"/>
    </row>
    <row r="860" spans="4:11" s="739" customFormat="1" x14ac:dyDescent="0.2">
      <c r="D860" s="740"/>
      <c r="F860" s="741"/>
      <c r="G860" s="741"/>
      <c r="H860" s="741"/>
      <c r="I860" s="741"/>
      <c r="J860" s="741"/>
      <c r="K860" s="742"/>
    </row>
    <row r="861" spans="4:11" s="739" customFormat="1" x14ac:dyDescent="0.2">
      <c r="D861" s="740"/>
      <c r="F861" s="741"/>
      <c r="G861" s="741"/>
      <c r="H861" s="741"/>
      <c r="I861" s="741"/>
      <c r="J861" s="741"/>
      <c r="K861" s="742"/>
    </row>
    <row r="862" spans="4:11" s="739" customFormat="1" x14ac:dyDescent="0.2">
      <c r="D862" s="740"/>
      <c r="F862" s="741"/>
      <c r="G862" s="741"/>
      <c r="H862" s="741"/>
      <c r="I862" s="741"/>
      <c r="J862" s="741"/>
      <c r="K862" s="742"/>
    </row>
    <row r="863" spans="4:11" s="739" customFormat="1" x14ac:dyDescent="0.2">
      <c r="D863" s="740"/>
      <c r="F863" s="741"/>
      <c r="G863" s="741"/>
      <c r="H863" s="741"/>
      <c r="I863" s="741"/>
      <c r="J863" s="741"/>
      <c r="K863" s="742"/>
    </row>
    <row r="864" spans="4:11" s="739" customFormat="1" x14ac:dyDescent="0.2">
      <c r="D864" s="740"/>
      <c r="F864" s="741"/>
      <c r="G864" s="741"/>
      <c r="H864" s="741"/>
      <c r="I864" s="741"/>
      <c r="J864" s="741"/>
      <c r="K864" s="742"/>
    </row>
    <row r="865" spans="4:11" s="739" customFormat="1" x14ac:dyDescent="0.2">
      <c r="D865" s="740"/>
      <c r="F865" s="741"/>
      <c r="G865" s="741"/>
      <c r="H865" s="741"/>
      <c r="I865" s="741"/>
      <c r="J865" s="741"/>
      <c r="K865" s="742"/>
    </row>
    <row r="866" spans="4:11" s="739" customFormat="1" x14ac:dyDescent="0.2">
      <c r="D866" s="740"/>
      <c r="F866" s="741"/>
      <c r="G866" s="741"/>
      <c r="H866" s="741"/>
      <c r="I866" s="741"/>
      <c r="J866" s="741"/>
      <c r="K866" s="742"/>
    </row>
    <row r="867" spans="4:11" s="739" customFormat="1" x14ac:dyDescent="0.2">
      <c r="D867" s="740"/>
      <c r="F867" s="741"/>
      <c r="G867" s="741"/>
      <c r="H867" s="741"/>
      <c r="I867" s="741"/>
      <c r="J867" s="741"/>
      <c r="K867" s="742"/>
    </row>
    <row r="868" spans="4:11" s="739" customFormat="1" x14ac:dyDescent="0.2">
      <c r="D868" s="740"/>
      <c r="F868" s="741"/>
      <c r="G868" s="741"/>
      <c r="H868" s="741"/>
      <c r="I868" s="741"/>
      <c r="J868" s="741"/>
      <c r="K868" s="742"/>
    </row>
    <row r="869" spans="4:11" s="739" customFormat="1" x14ac:dyDescent="0.2">
      <c r="D869" s="740"/>
      <c r="F869" s="741"/>
      <c r="G869" s="741"/>
      <c r="H869" s="741"/>
      <c r="I869" s="741"/>
      <c r="J869" s="741"/>
      <c r="K869" s="742"/>
    </row>
    <row r="870" spans="4:11" s="739" customFormat="1" x14ac:dyDescent="0.2">
      <c r="D870" s="740"/>
      <c r="F870" s="741"/>
      <c r="G870" s="741"/>
      <c r="H870" s="741"/>
      <c r="I870" s="741"/>
      <c r="J870" s="741"/>
      <c r="K870" s="742"/>
    </row>
    <row r="871" spans="4:11" s="739" customFormat="1" x14ac:dyDescent="0.2">
      <c r="D871" s="740"/>
      <c r="F871" s="741"/>
      <c r="G871" s="741"/>
      <c r="H871" s="741"/>
      <c r="I871" s="741"/>
      <c r="J871" s="741"/>
      <c r="K871" s="742"/>
    </row>
    <row r="872" spans="4:11" s="739" customFormat="1" x14ac:dyDescent="0.2">
      <c r="D872" s="740"/>
      <c r="F872" s="741"/>
      <c r="G872" s="741"/>
      <c r="H872" s="741"/>
      <c r="I872" s="741"/>
      <c r="J872" s="741"/>
      <c r="K872" s="742"/>
    </row>
    <row r="873" spans="4:11" s="739" customFormat="1" x14ac:dyDescent="0.2">
      <c r="D873" s="740"/>
      <c r="F873" s="741"/>
      <c r="G873" s="741"/>
      <c r="H873" s="741"/>
      <c r="I873" s="741"/>
      <c r="J873" s="741"/>
      <c r="K873" s="742"/>
    </row>
    <row r="874" spans="4:11" s="739" customFormat="1" x14ac:dyDescent="0.2">
      <c r="D874" s="740"/>
      <c r="F874" s="741"/>
      <c r="G874" s="741"/>
      <c r="H874" s="741"/>
      <c r="I874" s="741"/>
      <c r="J874" s="741"/>
      <c r="K874" s="742"/>
    </row>
    <row r="875" spans="4:11" s="739" customFormat="1" x14ac:dyDescent="0.2">
      <c r="D875" s="740"/>
      <c r="F875" s="741"/>
      <c r="G875" s="741"/>
      <c r="H875" s="741"/>
      <c r="I875" s="741"/>
      <c r="J875" s="741"/>
      <c r="K875" s="742"/>
    </row>
    <row r="876" spans="4:11" s="739" customFormat="1" x14ac:dyDescent="0.2">
      <c r="D876" s="740"/>
      <c r="F876" s="741"/>
      <c r="G876" s="741"/>
      <c r="H876" s="741"/>
      <c r="I876" s="741"/>
      <c r="J876" s="741"/>
      <c r="K876" s="742"/>
    </row>
    <row r="877" spans="4:11" s="739" customFormat="1" x14ac:dyDescent="0.2">
      <c r="D877" s="740"/>
      <c r="F877" s="741"/>
      <c r="G877" s="741"/>
      <c r="H877" s="741"/>
      <c r="I877" s="741"/>
      <c r="J877" s="741"/>
      <c r="K877" s="742"/>
    </row>
    <row r="878" spans="4:11" s="739" customFormat="1" x14ac:dyDescent="0.2">
      <c r="D878" s="740"/>
      <c r="F878" s="741"/>
      <c r="G878" s="741"/>
      <c r="H878" s="741"/>
      <c r="I878" s="741"/>
      <c r="J878" s="741"/>
      <c r="K878" s="742"/>
    </row>
    <row r="879" spans="4:11" s="739" customFormat="1" x14ac:dyDescent="0.2">
      <c r="D879" s="740"/>
      <c r="F879" s="741"/>
      <c r="G879" s="741"/>
      <c r="H879" s="741"/>
      <c r="I879" s="741"/>
      <c r="J879" s="741"/>
      <c r="K879" s="742"/>
    </row>
    <row r="880" spans="4:11" s="739" customFormat="1" x14ac:dyDescent="0.2">
      <c r="D880" s="740"/>
      <c r="F880" s="741"/>
      <c r="G880" s="741"/>
      <c r="H880" s="741"/>
      <c r="I880" s="741"/>
      <c r="J880" s="741"/>
      <c r="K880" s="742"/>
    </row>
    <row r="881" spans="4:11" s="739" customFormat="1" x14ac:dyDescent="0.2">
      <c r="D881" s="740"/>
      <c r="F881" s="741"/>
      <c r="G881" s="741"/>
      <c r="H881" s="741"/>
      <c r="I881" s="741"/>
      <c r="J881" s="741"/>
      <c r="K881" s="742"/>
    </row>
    <row r="882" spans="4:11" s="739" customFormat="1" x14ac:dyDescent="0.2">
      <c r="D882" s="740"/>
      <c r="F882" s="741"/>
      <c r="G882" s="741"/>
      <c r="H882" s="741"/>
      <c r="I882" s="741"/>
      <c r="J882" s="741"/>
      <c r="K882" s="742"/>
    </row>
    <row r="883" spans="4:11" s="739" customFormat="1" x14ac:dyDescent="0.2">
      <c r="D883" s="740"/>
      <c r="F883" s="741"/>
      <c r="G883" s="741"/>
      <c r="H883" s="741"/>
      <c r="I883" s="741"/>
      <c r="J883" s="741"/>
      <c r="K883" s="742"/>
    </row>
    <row r="884" spans="4:11" s="739" customFormat="1" x14ac:dyDescent="0.2">
      <c r="D884" s="740"/>
      <c r="F884" s="741"/>
      <c r="G884" s="741"/>
      <c r="H884" s="741"/>
      <c r="I884" s="741"/>
      <c r="J884" s="741"/>
      <c r="K884" s="742"/>
    </row>
    <row r="885" spans="4:11" s="739" customFormat="1" x14ac:dyDescent="0.2">
      <c r="D885" s="740"/>
      <c r="F885" s="741"/>
      <c r="G885" s="741"/>
      <c r="H885" s="741"/>
      <c r="I885" s="741"/>
      <c r="J885" s="741"/>
      <c r="K885" s="742"/>
    </row>
    <row r="886" spans="4:11" s="739" customFormat="1" x14ac:dyDescent="0.2">
      <c r="D886" s="740"/>
      <c r="F886" s="741"/>
      <c r="G886" s="741"/>
      <c r="H886" s="741"/>
      <c r="I886" s="741"/>
      <c r="J886" s="741"/>
      <c r="K886" s="742"/>
    </row>
    <row r="887" spans="4:11" s="739" customFormat="1" x14ac:dyDescent="0.2">
      <c r="D887" s="740"/>
      <c r="F887" s="741"/>
      <c r="G887" s="741"/>
      <c r="H887" s="741"/>
      <c r="I887" s="741"/>
      <c r="J887" s="741"/>
      <c r="K887" s="742"/>
    </row>
    <row r="888" spans="4:11" s="739" customFormat="1" x14ac:dyDescent="0.2">
      <c r="D888" s="740"/>
      <c r="F888" s="741"/>
      <c r="G888" s="741"/>
      <c r="H888" s="741"/>
      <c r="I888" s="741"/>
      <c r="J888" s="741"/>
      <c r="K888" s="742"/>
    </row>
    <row r="889" spans="4:11" s="739" customFormat="1" x14ac:dyDescent="0.2">
      <c r="D889" s="740"/>
      <c r="F889" s="741"/>
      <c r="G889" s="741"/>
      <c r="H889" s="741"/>
      <c r="I889" s="741"/>
      <c r="J889" s="741"/>
      <c r="K889" s="742"/>
    </row>
    <row r="890" spans="4:11" s="739" customFormat="1" x14ac:dyDescent="0.2">
      <c r="D890" s="740"/>
      <c r="F890" s="741"/>
      <c r="G890" s="741"/>
      <c r="H890" s="741"/>
      <c r="I890" s="741"/>
      <c r="J890" s="741"/>
      <c r="K890" s="742"/>
    </row>
    <row r="891" spans="4:11" s="739" customFormat="1" x14ac:dyDescent="0.2">
      <c r="D891" s="740"/>
      <c r="F891" s="741"/>
      <c r="G891" s="741"/>
      <c r="H891" s="741"/>
      <c r="I891" s="741"/>
      <c r="J891" s="741"/>
      <c r="K891" s="742"/>
    </row>
    <row r="892" spans="4:11" s="739" customFormat="1" x14ac:dyDescent="0.2">
      <c r="D892" s="740"/>
      <c r="F892" s="741"/>
      <c r="G892" s="741"/>
      <c r="H892" s="741"/>
      <c r="I892" s="741"/>
      <c r="J892" s="741"/>
      <c r="K892" s="742"/>
    </row>
    <row r="893" spans="4:11" s="739" customFormat="1" x14ac:dyDescent="0.2">
      <c r="D893" s="740"/>
      <c r="F893" s="741"/>
      <c r="G893" s="741"/>
      <c r="H893" s="741"/>
      <c r="I893" s="741"/>
      <c r="J893" s="741"/>
      <c r="K893" s="742"/>
    </row>
    <row r="894" spans="4:11" s="739" customFormat="1" x14ac:dyDescent="0.2">
      <c r="D894" s="740"/>
      <c r="F894" s="741"/>
      <c r="G894" s="741"/>
      <c r="H894" s="741"/>
      <c r="I894" s="741"/>
      <c r="J894" s="741"/>
      <c r="K894" s="742"/>
    </row>
    <row r="895" spans="4:11" s="739" customFormat="1" x14ac:dyDescent="0.2">
      <c r="D895" s="740"/>
      <c r="F895" s="741"/>
      <c r="G895" s="741"/>
      <c r="H895" s="741"/>
      <c r="I895" s="741"/>
      <c r="J895" s="741"/>
      <c r="K895" s="742"/>
    </row>
    <row r="896" spans="4:11" s="739" customFormat="1" x14ac:dyDescent="0.2">
      <c r="D896" s="740"/>
      <c r="F896" s="741"/>
      <c r="G896" s="741"/>
      <c r="H896" s="741"/>
      <c r="I896" s="741"/>
      <c r="J896" s="741"/>
      <c r="K896" s="742"/>
    </row>
    <row r="897" spans="4:11" s="739" customFormat="1" x14ac:dyDescent="0.2">
      <c r="D897" s="740"/>
      <c r="F897" s="741"/>
      <c r="G897" s="741"/>
      <c r="H897" s="741"/>
      <c r="I897" s="741"/>
      <c r="J897" s="741"/>
      <c r="K897" s="742"/>
    </row>
    <row r="898" spans="4:11" s="739" customFormat="1" x14ac:dyDescent="0.2">
      <c r="D898" s="740"/>
      <c r="F898" s="741"/>
      <c r="G898" s="741"/>
      <c r="H898" s="741"/>
      <c r="I898" s="741"/>
      <c r="J898" s="741"/>
      <c r="K898" s="742"/>
    </row>
    <row r="899" spans="4:11" s="739" customFormat="1" x14ac:dyDescent="0.2">
      <c r="D899" s="740"/>
      <c r="F899" s="741"/>
      <c r="G899" s="741"/>
      <c r="H899" s="741"/>
      <c r="I899" s="741"/>
      <c r="J899" s="741"/>
      <c r="K899" s="742"/>
    </row>
    <row r="900" spans="4:11" s="739" customFormat="1" x14ac:dyDescent="0.2">
      <c r="D900" s="740"/>
      <c r="F900" s="741"/>
      <c r="G900" s="741"/>
      <c r="H900" s="741"/>
      <c r="I900" s="741"/>
      <c r="J900" s="741"/>
      <c r="K900" s="742"/>
    </row>
    <row r="901" spans="4:11" s="739" customFormat="1" x14ac:dyDescent="0.2">
      <c r="D901" s="740"/>
      <c r="F901" s="741"/>
      <c r="G901" s="741"/>
      <c r="H901" s="741"/>
      <c r="I901" s="741"/>
      <c r="J901" s="741"/>
      <c r="K901" s="742"/>
    </row>
    <row r="902" spans="4:11" s="739" customFormat="1" x14ac:dyDescent="0.2">
      <c r="D902" s="740"/>
      <c r="F902" s="741"/>
      <c r="G902" s="741"/>
      <c r="H902" s="741"/>
      <c r="I902" s="741"/>
      <c r="J902" s="741"/>
      <c r="K902" s="742"/>
    </row>
    <row r="903" spans="4:11" s="739" customFormat="1" x14ac:dyDescent="0.2">
      <c r="D903" s="740"/>
      <c r="F903" s="741"/>
      <c r="G903" s="741"/>
      <c r="H903" s="741"/>
      <c r="I903" s="741"/>
      <c r="J903" s="741"/>
      <c r="K903" s="742"/>
    </row>
    <row r="904" spans="4:11" s="739" customFormat="1" x14ac:dyDescent="0.2">
      <c r="D904" s="740"/>
      <c r="F904" s="741"/>
      <c r="G904" s="741"/>
      <c r="H904" s="741"/>
      <c r="I904" s="741"/>
      <c r="J904" s="741"/>
      <c r="K904" s="742"/>
    </row>
    <row r="905" spans="4:11" s="739" customFormat="1" x14ac:dyDescent="0.2">
      <c r="D905" s="740"/>
      <c r="F905" s="741"/>
      <c r="G905" s="741"/>
      <c r="H905" s="741"/>
      <c r="I905" s="741"/>
      <c r="J905" s="741"/>
      <c r="K905" s="742"/>
    </row>
    <row r="906" spans="4:11" s="739" customFormat="1" x14ac:dyDescent="0.2">
      <c r="D906" s="740"/>
      <c r="F906" s="741"/>
      <c r="G906" s="741"/>
      <c r="H906" s="741"/>
      <c r="I906" s="741"/>
      <c r="J906" s="741"/>
      <c r="K906" s="742"/>
    </row>
    <row r="907" spans="4:11" s="739" customFormat="1" x14ac:dyDescent="0.2">
      <c r="D907" s="740"/>
      <c r="F907" s="741"/>
      <c r="G907" s="741"/>
      <c r="H907" s="741"/>
      <c r="I907" s="741"/>
      <c r="J907" s="741"/>
      <c r="K907" s="742"/>
    </row>
    <row r="908" spans="4:11" s="739" customFormat="1" x14ac:dyDescent="0.2">
      <c r="D908" s="740"/>
      <c r="F908" s="741"/>
      <c r="G908" s="741"/>
      <c r="H908" s="741"/>
      <c r="I908" s="741"/>
      <c r="J908" s="741"/>
      <c r="K908" s="742"/>
    </row>
    <row r="909" spans="4:11" s="739" customFormat="1" x14ac:dyDescent="0.2">
      <c r="D909" s="740"/>
      <c r="F909" s="741"/>
      <c r="G909" s="741"/>
      <c r="H909" s="741"/>
      <c r="I909" s="741"/>
      <c r="J909" s="741"/>
      <c r="K909" s="742"/>
    </row>
    <row r="910" spans="4:11" s="739" customFormat="1" x14ac:dyDescent="0.2">
      <c r="D910" s="740"/>
      <c r="F910" s="741"/>
      <c r="G910" s="741"/>
      <c r="H910" s="741"/>
      <c r="I910" s="741"/>
      <c r="J910" s="741"/>
      <c r="K910" s="742"/>
    </row>
    <row r="911" spans="4:11" s="739" customFormat="1" x14ac:dyDescent="0.2">
      <c r="D911" s="740"/>
      <c r="F911" s="741"/>
      <c r="G911" s="741"/>
      <c r="H911" s="741"/>
      <c r="I911" s="741"/>
      <c r="J911" s="741"/>
      <c r="K911" s="742"/>
    </row>
    <row r="912" spans="4:11" s="739" customFormat="1" x14ac:dyDescent="0.2">
      <c r="D912" s="740"/>
      <c r="F912" s="741"/>
      <c r="G912" s="741"/>
      <c r="H912" s="741"/>
      <c r="I912" s="741"/>
      <c r="J912" s="741"/>
      <c r="K912" s="742"/>
    </row>
    <row r="913" spans="4:11" s="739" customFormat="1" x14ac:dyDescent="0.2">
      <c r="D913" s="740"/>
      <c r="F913" s="741"/>
      <c r="G913" s="741"/>
      <c r="H913" s="741"/>
      <c r="I913" s="741"/>
      <c r="J913" s="741"/>
      <c r="K913" s="742"/>
    </row>
    <row r="914" spans="4:11" s="739" customFormat="1" x14ac:dyDescent="0.2">
      <c r="D914" s="740"/>
      <c r="F914" s="741"/>
      <c r="G914" s="741"/>
      <c r="H914" s="741"/>
      <c r="I914" s="741"/>
      <c r="J914" s="741"/>
      <c r="K914" s="742"/>
    </row>
    <row r="915" spans="4:11" s="739" customFormat="1" x14ac:dyDescent="0.2">
      <c r="D915" s="740"/>
      <c r="F915" s="741"/>
      <c r="G915" s="741"/>
      <c r="H915" s="741"/>
      <c r="I915" s="741"/>
      <c r="J915" s="741"/>
      <c r="K915" s="742"/>
    </row>
    <row r="916" spans="4:11" s="739" customFormat="1" x14ac:dyDescent="0.2">
      <c r="D916" s="740"/>
      <c r="F916" s="741"/>
      <c r="G916" s="741"/>
      <c r="H916" s="741"/>
      <c r="I916" s="741"/>
      <c r="J916" s="741"/>
      <c r="K916" s="742"/>
    </row>
    <row r="917" spans="4:11" s="739" customFormat="1" x14ac:dyDescent="0.2">
      <c r="D917" s="740"/>
      <c r="F917" s="741"/>
      <c r="G917" s="741"/>
      <c r="H917" s="741"/>
      <c r="I917" s="741"/>
      <c r="J917" s="741"/>
      <c r="K917" s="742"/>
    </row>
    <row r="918" spans="4:11" s="739" customFormat="1" x14ac:dyDescent="0.2">
      <c r="D918" s="740"/>
      <c r="F918" s="741"/>
      <c r="G918" s="741"/>
      <c r="H918" s="741"/>
      <c r="I918" s="741"/>
      <c r="J918" s="741"/>
      <c r="K918" s="742"/>
    </row>
    <row r="919" spans="4:11" s="739" customFormat="1" x14ac:dyDescent="0.2">
      <c r="D919" s="740"/>
      <c r="F919" s="741"/>
      <c r="G919" s="741"/>
      <c r="H919" s="741"/>
      <c r="I919" s="741"/>
      <c r="J919" s="741"/>
      <c r="K919" s="742"/>
    </row>
    <row r="920" spans="4:11" s="739" customFormat="1" x14ac:dyDescent="0.2">
      <c r="D920" s="740"/>
      <c r="F920" s="741"/>
      <c r="G920" s="741"/>
      <c r="H920" s="741"/>
      <c r="I920" s="741"/>
      <c r="J920" s="741"/>
      <c r="K920" s="742"/>
    </row>
    <row r="921" spans="4:11" s="739" customFormat="1" x14ac:dyDescent="0.2">
      <c r="D921" s="740"/>
      <c r="F921" s="741"/>
      <c r="G921" s="741"/>
      <c r="H921" s="741"/>
      <c r="I921" s="741"/>
      <c r="J921" s="741"/>
      <c r="K921" s="742"/>
    </row>
    <row r="922" spans="4:11" s="739" customFormat="1" x14ac:dyDescent="0.2">
      <c r="D922" s="740"/>
      <c r="F922" s="741"/>
      <c r="G922" s="741"/>
      <c r="H922" s="741"/>
      <c r="I922" s="741"/>
      <c r="J922" s="741"/>
      <c r="K922" s="742"/>
    </row>
    <row r="923" spans="4:11" s="739" customFormat="1" x14ac:dyDescent="0.2">
      <c r="D923" s="740"/>
      <c r="F923" s="741"/>
      <c r="G923" s="741"/>
      <c r="H923" s="741"/>
      <c r="I923" s="741"/>
      <c r="J923" s="741"/>
      <c r="K923" s="742"/>
    </row>
    <row r="924" spans="4:11" s="739" customFormat="1" x14ac:dyDescent="0.2">
      <c r="D924" s="740"/>
      <c r="F924" s="741"/>
      <c r="G924" s="741"/>
      <c r="H924" s="741"/>
      <c r="I924" s="741"/>
      <c r="J924" s="741"/>
      <c r="K924" s="742"/>
    </row>
    <row r="925" spans="4:11" s="739" customFormat="1" x14ac:dyDescent="0.2">
      <c r="D925" s="740"/>
      <c r="F925" s="741"/>
      <c r="G925" s="741"/>
      <c r="H925" s="741"/>
      <c r="I925" s="741"/>
      <c r="J925" s="741"/>
      <c r="K925" s="742"/>
    </row>
    <row r="926" spans="4:11" s="739" customFormat="1" x14ac:dyDescent="0.2">
      <c r="D926" s="740"/>
      <c r="F926" s="741"/>
      <c r="G926" s="741"/>
      <c r="H926" s="741"/>
      <c r="I926" s="741"/>
      <c r="J926" s="741"/>
      <c r="K926" s="742"/>
    </row>
    <row r="927" spans="4:11" s="739" customFormat="1" x14ac:dyDescent="0.2">
      <c r="D927" s="740"/>
      <c r="F927" s="741"/>
      <c r="G927" s="741"/>
      <c r="H927" s="741"/>
      <c r="I927" s="741"/>
      <c r="J927" s="741"/>
      <c r="K927" s="742"/>
    </row>
    <row r="928" spans="4:11" s="739" customFormat="1" x14ac:dyDescent="0.2">
      <c r="D928" s="740"/>
      <c r="F928" s="741"/>
      <c r="G928" s="741"/>
      <c r="H928" s="741"/>
      <c r="I928" s="741"/>
      <c r="J928" s="741"/>
      <c r="K928" s="742"/>
    </row>
    <row r="929" spans="4:11" s="739" customFormat="1" x14ac:dyDescent="0.2">
      <c r="D929" s="740"/>
      <c r="F929" s="741"/>
      <c r="G929" s="741"/>
      <c r="H929" s="741"/>
      <c r="I929" s="741"/>
      <c r="J929" s="741"/>
      <c r="K929" s="742"/>
    </row>
    <row r="930" spans="4:11" s="739" customFormat="1" x14ac:dyDescent="0.2">
      <c r="D930" s="740"/>
      <c r="F930" s="741"/>
      <c r="G930" s="741"/>
      <c r="H930" s="741"/>
      <c r="I930" s="741"/>
      <c r="J930" s="741"/>
      <c r="K930" s="742"/>
    </row>
    <row r="931" spans="4:11" s="739" customFormat="1" x14ac:dyDescent="0.2">
      <c r="D931" s="740"/>
      <c r="F931" s="741"/>
      <c r="G931" s="741"/>
      <c r="H931" s="741"/>
      <c r="I931" s="741"/>
      <c r="J931" s="741"/>
      <c r="K931" s="742"/>
    </row>
    <row r="932" spans="4:11" s="739" customFormat="1" x14ac:dyDescent="0.2">
      <c r="D932" s="740"/>
      <c r="F932" s="741"/>
      <c r="G932" s="741"/>
      <c r="H932" s="741"/>
      <c r="I932" s="741"/>
      <c r="J932" s="741"/>
      <c r="K932" s="742"/>
    </row>
    <row r="933" spans="4:11" s="739" customFormat="1" x14ac:dyDescent="0.2">
      <c r="D933" s="740"/>
      <c r="F933" s="741"/>
      <c r="G933" s="741"/>
      <c r="H933" s="741"/>
      <c r="I933" s="741"/>
      <c r="J933" s="741"/>
      <c r="K933" s="742"/>
    </row>
    <row r="934" spans="4:11" s="739" customFormat="1" x14ac:dyDescent="0.2">
      <c r="D934" s="740"/>
      <c r="F934" s="741"/>
      <c r="G934" s="741"/>
      <c r="H934" s="741"/>
      <c r="I934" s="741"/>
      <c r="J934" s="741"/>
      <c r="K934" s="742"/>
    </row>
    <row r="935" spans="4:11" s="739" customFormat="1" x14ac:dyDescent="0.2">
      <c r="D935" s="740"/>
      <c r="F935" s="741"/>
      <c r="G935" s="741"/>
      <c r="H935" s="741"/>
      <c r="I935" s="741"/>
      <c r="J935" s="741"/>
      <c r="K935" s="742"/>
    </row>
    <row r="936" spans="4:11" s="739" customFormat="1" x14ac:dyDescent="0.2">
      <c r="D936" s="740"/>
      <c r="F936" s="741"/>
      <c r="G936" s="741"/>
      <c r="H936" s="741"/>
      <c r="I936" s="741"/>
      <c r="J936" s="741"/>
      <c r="K936" s="742"/>
    </row>
    <row r="937" spans="4:11" s="739" customFormat="1" x14ac:dyDescent="0.2">
      <c r="D937" s="740"/>
      <c r="F937" s="741"/>
      <c r="G937" s="741"/>
      <c r="H937" s="741"/>
      <c r="I937" s="741"/>
      <c r="J937" s="741"/>
      <c r="K937" s="742"/>
    </row>
    <row r="938" spans="4:11" s="739" customFormat="1" x14ac:dyDescent="0.2">
      <c r="D938" s="740"/>
      <c r="F938" s="741"/>
      <c r="G938" s="741"/>
      <c r="H938" s="741"/>
      <c r="I938" s="741"/>
      <c r="J938" s="741"/>
      <c r="K938" s="742"/>
    </row>
    <row r="939" spans="4:11" s="739" customFormat="1" x14ac:dyDescent="0.2">
      <c r="D939" s="740"/>
      <c r="F939" s="741"/>
      <c r="G939" s="741"/>
      <c r="H939" s="741"/>
      <c r="I939" s="741"/>
      <c r="J939" s="741"/>
      <c r="K939" s="742"/>
    </row>
    <row r="940" spans="4:11" s="739" customFormat="1" x14ac:dyDescent="0.2">
      <c r="D940" s="740"/>
      <c r="F940" s="741"/>
      <c r="G940" s="741"/>
      <c r="H940" s="741"/>
      <c r="I940" s="741"/>
      <c r="J940" s="741"/>
      <c r="K940" s="742"/>
    </row>
    <row r="941" spans="4:11" s="739" customFormat="1" x14ac:dyDescent="0.2">
      <c r="D941" s="740"/>
      <c r="F941" s="741"/>
      <c r="G941" s="741"/>
      <c r="H941" s="741"/>
      <c r="I941" s="741"/>
      <c r="J941" s="741"/>
      <c r="K941" s="742"/>
    </row>
    <row r="942" spans="4:11" s="739" customFormat="1" x14ac:dyDescent="0.2">
      <c r="D942" s="740"/>
      <c r="F942" s="741"/>
      <c r="G942" s="741"/>
      <c r="H942" s="741"/>
      <c r="I942" s="741"/>
      <c r="J942" s="741"/>
      <c r="K942" s="742"/>
    </row>
    <row r="943" spans="4:11" s="739" customFormat="1" x14ac:dyDescent="0.2">
      <c r="D943" s="740"/>
      <c r="F943" s="741"/>
      <c r="G943" s="741"/>
      <c r="H943" s="741"/>
      <c r="I943" s="741"/>
      <c r="J943" s="741"/>
      <c r="K943" s="742"/>
    </row>
    <row r="944" spans="4:11" s="739" customFormat="1" x14ac:dyDescent="0.2">
      <c r="D944" s="740"/>
      <c r="F944" s="741"/>
      <c r="G944" s="741"/>
      <c r="H944" s="741"/>
      <c r="I944" s="741"/>
      <c r="J944" s="741"/>
      <c r="K944" s="742"/>
    </row>
    <row r="945" spans="4:11" s="739" customFormat="1" x14ac:dyDescent="0.2">
      <c r="D945" s="740"/>
      <c r="F945" s="741"/>
      <c r="G945" s="741"/>
      <c r="H945" s="741"/>
      <c r="I945" s="741"/>
      <c r="J945" s="741"/>
      <c r="K945" s="742"/>
    </row>
    <row r="946" spans="4:11" s="739" customFormat="1" x14ac:dyDescent="0.2">
      <c r="D946" s="740"/>
      <c r="F946" s="741"/>
      <c r="G946" s="741"/>
      <c r="H946" s="741"/>
      <c r="I946" s="741"/>
      <c r="J946" s="741"/>
      <c r="K946" s="742"/>
    </row>
    <row r="947" spans="4:11" s="739" customFormat="1" x14ac:dyDescent="0.2">
      <c r="D947" s="740"/>
      <c r="F947" s="741"/>
      <c r="G947" s="741"/>
      <c r="H947" s="741"/>
      <c r="I947" s="741"/>
      <c r="J947" s="741"/>
      <c r="K947" s="742"/>
    </row>
    <row r="948" spans="4:11" s="739" customFormat="1" x14ac:dyDescent="0.2">
      <c r="D948" s="740"/>
      <c r="F948" s="741"/>
      <c r="G948" s="741"/>
      <c r="H948" s="741"/>
      <c r="I948" s="741"/>
      <c r="J948" s="741"/>
      <c r="K948" s="742"/>
    </row>
    <row r="949" spans="4:11" s="739" customFormat="1" x14ac:dyDescent="0.2">
      <c r="D949" s="740"/>
      <c r="F949" s="741"/>
      <c r="G949" s="741"/>
      <c r="H949" s="741"/>
      <c r="I949" s="741"/>
      <c r="J949" s="741"/>
      <c r="K949" s="742"/>
    </row>
    <row r="950" spans="4:11" s="739" customFormat="1" x14ac:dyDescent="0.2">
      <c r="D950" s="740"/>
      <c r="F950" s="741"/>
      <c r="G950" s="741"/>
      <c r="H950" s="741"/>
      <c r="I950" s="741"/>
      <c r="J950" s="741"/>
      <c r="K950" s="742"/>
    </row>
    <row r="951" spans="4:11" s="739" customFormat="1" x14ac:dyDescent="0.2">
      <c r="D951" s="740"/>
      <c r="F951" s="741"/>
      <c r="G951" s="741"/>
      <c r="H951" s="741"/>
      <c r="I951" s="741"/>
      <c r="J951" s="741"/>
      <c r="K951" s="742"/>
    </row>
    <row r="952" spans="4:11" s="739" customFormat="1" x14ac:dyDescent="0.2">
      <c r="D952" s="740"/>
      <c r="F952" s="741"/>
      <c r="G952" s="741"/>
      <c r="H952" s="741"/>
      <c r="I952" s="741"/>
      <c r="J952" s="741"/>
      <c r="K952" s="742"/>
    </row>
    <row r="953" spans="4:11" s="739" customFormat="1" x14ac:dyDescent="0.2">
      <c r="D953" s="740"/>
      <c r="F953" s="741"/>
      <c r="G953" s="741"/>
      <c r="H953" s="741"/>
      <c r="I953" s="741"/>
      <c r="J953" s="741"/>
      <c r="K953" s="742"/>
    </row>
    <row r="954" spans="4:11" s="739" customFormat="1" x14ac:dyDescent="0.2">
      <c r="D954" s="740"/>
      <c r="F954" s="741"/>
      <c r="G954" s="741"/>
      <c r="H954" s="741"/>
      <c r="I954" s="741"/>
      <c r="J954" s="741"/>
      <c r="K954" s="742"/>
    </row>
    <row r="955" spans="4:11" s="739" customFormat="1" x14ac:dyDescent="0.2">
      <c r="D955" s="740"/>
      <c r="F955" s="741"/>
      <c r="G955" s="741"/>
      <c r="H955" s="741"/>
      <c r="I955" s="741"/>
      <c r="J955" s="741"/>
      <c r="K955" s="742"/>
    </row>
    <row r="956" spans="4:11" s="739" customFormat="1" x14ac:dyDescent="0.2">
      <c r="D956" s="740"/>
      <c r="F956" s="741"/>
      <c r="G956" s="741"/>
      <c r="H956" s="741"/>
      <c r="I956" s="741"/>
      <c r="J956" s="741"/>
      <c r="K956" s="742"/>
    </row>
    <row r="957" spans="4:11" s="739" customFormat="1" x14ac:dyDescent="0.2">
      <c r="D957" s="740"/>
      <c r="F957" s="741"/>
      <c r="G957" s="741"/>
      <c r="H957" s="741"/>
      <c r="I957" s="741"/>
      <c r="J957" s="741"/>
      <c r="K957" s="742"/>
    </row>
    <row r="958" spans="4:11" s="739" customFormat="1" x14ac:dyDescent="0.2">
      <c r="D958" s="740"/>
      <c r="F958" s="741"/>
      <c r="G958" s="741"/>
      <c r="H958" s="741"/>
      <c r="I958" s="741"/>
      <c r="J958" s="741"/>
      <c r="K958" s="742"/>
    </row>
    <row r="959" spans="4:11" s="739" customFormat="1" x14ac:dyDescent="0.2">
      <c r="D959" s="740"/>
      <c r="F959" s="741"/>
      <c r="G959" s="741"/>
      <c r="H959" s="741"/>
      <c r="I959" s="741"/>
      <c r="J959" s="741"/>
      <c r="K959" s="742"/>
    </row>
    <row r="960" spans="4:11" s="739" customFormat="1" x14ac:dyDescent="0.2">
      <c r="D960" s="740"/>
      <c r="F960" s="741"/>
      <c r="G960" s="741"/>
      <c r="H960" s="741"/>
      <c r="I960" s="741"/>
      <c r="J960" s="741"/>
      <c r="K960" s="742"/>
    </row>
    <row r="961" spans="4:11" s="739" customFormat="1" x14ac:dyDescent="0.2">
      <c r="D961" s="740"/>
      <c r="F961" s="741"/>
      <c r="G961" s="741"/>
      <c r="H961" s="741"/>
      <c r="I961" s="741"/>
      <c r="J961" s="741"/>
      <c r="K961" s="742"/>
    </row>
    <row r="962" spans="4:11" s="739" customFormat="1" x14ac:dyDescent="0.2">
      <c r="D962" s="740"/>
      <c r="F962" s="741"/>
      <c r="G962" s="741"/>
      <c r="H962" s="741"/>
      <c r="I962" s="741"/>
      <c r="J962" s="741"/>
      <c r="K962" s="742"/>
    </row>
    <row r="963" spans="4:11" s="739" customFormat="1" x14ac:dyDescent="0.2">
      <c r="D963" s="740"/>
      <c r="F963" s="741"/>
      <c r="G963" s="741"/>
      <c r="H963" s="741"/>
      <c r="I963" s="741"/>
      <c r="J963" s="741"/>
      <c r="K963" s="742"/>
    </row>
    <row r="964" spans="4:11" s="739" customFormat="1" x14ac:dyDescent="0.2">
      <c r="D964" s="740"/>
      <c r="F964" s="741"/>
      <c r="G964" s="741"/>
      <c r="H964" s="741"/>
      <c r="I964" s="741"/>
      <c r="J964" s="741"/>
      <c r="K964" s="742"/>
    </row>
    <row r="965" spans="4:11" s="739" customFormat="1" x14ac:dyDescent="0.2">
      <c r="D965" s="740"/>
      <c r="F965" s="741"/>
      <c r="G965" s="741"/>
      <c r="H965" s="741"/>
      <c r="I965" s="741"/>
      <c r="J965" s="741"/>
      <c r="K965" s="742"/>
    </row>
    <row r="966" spans="4:11" s="739" customFormat="1" x14ac:dyDescent="0.2">
      <c r="D966" s="740"/>
      <c r="F966" s="741"/>
      <c r="G966" s="741"/>
      <c r="H966" s="741"/>
      <c r="I966" s="741"/>
      <c r="J966" s="741"/>
      <c r="K966" s="742"/>
    </row>
    <row r="967" spans="4:11" s="739" customFormat="1" x14ac:dyDescent="0.2">
      <c r="D967" s="740"/>
      <c r="F967" s="741"/>
      <c r="G967" s="741"/>
      <c r="H967" s="741"/>
      <c r="I967" s="741"/>
      <c r="J967" s="741"/>
      <c r="K967" s="742"/>
    </row>
    <row r="968" spans="4:11" s="739" customFormat="1" x14ac:dyDescent="0.2">
      <c r="D968" s="740"/>
      <c r="F968" s="741"/>
      <c r="G968" s="741"/>
      <c r="H968" s="741"/>
      <c r="I968" s="741"/>
      <c r="J968" s="741"/>
      <c r="K968" s="742"/>
    </row>
    <row r="969" spans="4:11" s="739" customFormat="1" x14ac:dyDescent="0.2">
      <c r="D969" s="740"/>
      <c r="F969" s="741"/>
      <c r="G969" s="741"/>
      <c r="H969" s="741"/>
      <c r="I969" s="741"/>
      <c r="J969" s="741"/>
      <c r="K969" s="742"/>
    </row>
    <row r="970" spans="4:11" s="739" customFormat="1" x14ac:dyDescent="0.2">
      <c r="D970" s="740"/>
      <c r="F970" s="741"/>
      <c r="G970" s="741"/>
      <c r="H970" s="741"/>
      <c r="I970" s="741"/>
      <c r="J970" s="741"/>
      <c r="K970" s="742"/>
    </row>
    <row r="971" spans="4:11" s="739" customFormat="1" x14ac:dyDescent="0.2">
      <c r="D971" s="740"/>
      <c r="F971" s="741"/>
      <c r="G971" s="741"/>
      <c r="H971" s="741"/>
      <c r="I971" s="741"/>
      <c r="J971" s="741"/>
      <c r="K971" s="742"/>
    </row>
    <row r="972" spans="4:11" s="739" customFormat="1" x14ac:dyDescent="0.2">
      <c r="D972" s="740"/>
      <c r="F972" s="741"/>
      <c r="G972" s="741"/>
      <c r="H972" s="741"/>
      <c r="I972" s="741"/>
      <c r="J972" s="741"/>
      <c r="K972" s="742"/>
    </row>
    <row r="973" spans="4:11" s="739" customFormat="1" x14ac:dyDescent="0.2">
      <c r="D973" s="740"/>
      <c r="F973" s="741"/>
      <c r="G973" s="741"/>
      <c r="H973" s="741"/>
      <c r="I973" s="741"/>
      <c r="J973" s="741"/>
      <c r="K973" s="742"/>
    </row>
    <row r="974" spans="4:11" s="739" customFormat="1" x14ac:dyDescent="0.2">
      <c r="D974" s="740"/>
      <c r="F974" s="741"/>
      <c r="G974" s="741"/>
      <c r="H974" s="741"/>
      <c r="I974" s="741"/>
      <c r="J974" s="741"/>
      <c r="K974" s="742"/>
    </row>
    <row r="975" spans="4:11" s="739" customFormat="1" x14ac:dyDescent="0.2">
      <c r="D975" s="740"/>
      <c r="F975" s="741"/>
      <c r="G975" s="741"/>
      <c r="H975" s="741"/>
      <c r="I975" s="741"/>
      <c r="J975" s="741"/>
      <c r="K975" s="742"/>
    </row>
    <row r="976" spans="4:11" s="739" customFormat="1" x14ac:dyDescent="0.2">
      <c r="D976" s="740"/>
      <c r="F976" s="741"/>
      <c r="G976" s="741"/>
      <c r="H976" s="741"/>
      <c r="I976" s="741"/>
      <c r="J976" s="741"/>
      <c r="K976" s="742"/>
    </row>
    <row r="977" spans="4:11" s="739" customFormat="1" x14ac:dyDescent="0.2">
      <c r="D977" s="740"/>
      <c r="F977" s="741"/>
      <c r="G977" s="741"/>
      <c r="H977" s="741"/>
      <c r="I977" s="741"/>
      <c r="J977" s="741"/>
      <c r="K977" s="742"/>
    </row>
    <row r="978" spans="4:11" s="739" customFormat="1" x14ac:dyDescent="0.2">
      <c r="D978" s="740"/>
      <c r="F978" s="741"/>
      <c r="G978" s="741"/>
      <c r="H978" s="741"/>
      <c r="I978" s="741"/>
      <c r="J978" s="741"/>
      <c r="K978" s="742"/>
    </row>
    <row r="979" spans="4:11" s="739" customFormat="1" x14ac:dyDescent="0.2">
      <c r="D979" s="740"/>
      <c r="F979" s="741"/>
      <c r="G979" s="741"/>
      <c r="H979" s="741"/>
      <c r="I979" s="741"/>
      <c r="J979" s="741"/>
      <c r="K979" s="742"/>
    </row>
    <row r="980" spans="4:11" s="739" customFormat="1" x14ac:dyDescent="0.2">
      <c r="D980" s="740"/>
      <c r="F980" s="741"/>
      <c r="G980" s="741"/>
      <c r="H980" s="741"/>
      <c r="I980" s="741"/>
      <c r="J980" s="741"/>
      <c r="K980" s="742"/>
    </row>
    <row r="981" spans="4:11" s="739" customFormat="1" x14ac:dyDescent="0.2">
      <c r="D981" s="740"/>
      <c r="F981" s="741"/>
      <c r="G981" s="741"/>
      <c r="H981" s="741"/>
      <c r="I981" s="741"/>
      <c r="J981" s="741"/>
      <c r="K981" s="742"/>
    </row>
    <row r="982" spans="4:11" s="739" customFormat="1" x14ac:dyDescent="0.2">
      <c r="D982" s="740"/>
      <c r="F982" s="741"/>
      <c r="G982" s="741"/>
      <c r="H982" s="741"/>
      <c r="I982" s="741"/>
      <c r="J982" s="741"/>
      <c r="K982" s="742"/>
    </row>
    <row r="983" spans="4:11" s="739" customFormat="1" x14ac:dyDescent="0.2">
      <c r="D983" s="740"/>
      <c r="F983" s="741"/>
      <c r="G983" s="741"/>
      <c r="H983" s="741"/>
      <c r="I983" s="741"/>
      <c r="J983" s="741"/>
      <c r="K983" s="742"/>
    </row>
    <row r="984" spans="4:11" s="739" customFormat="1" x14ac:dyDescent="0.2">
      <c r="D984" s="740"/>
      <c r="F984" s="741"/>
      <c r="G984" s="741"/>
      <c r="H984" s="741"/>
      <c r="I984" s="741"/>
      <c r="J984" s="741"/>
      <c r="K984" s="742"/>
    </row>
    <row r="985" spans="4:11" s="739" customFormat="1" x14ac:dyDescent="0.2">
      <c r="D985" s="740"/>
      <c r="F985" s="741"/>
      <c r="G985" s="741"/>
      <c r="H985" s="741"/>
      <c r="I985" s="741"/>
      <c r="J985" s="741"/>
      <c r="K985" s="742"/>
    </row>
    <row r="986" spans="4:11" s="739" customFormat="1" x14ac:dyDescent="0.2">
      <c r="D986" s="740"/>
      <c r="F986" s="741"/>
      <c r="G986" s="741"/>
      <c r="H986" s="741"/>
      <c r="I986" s="741"/>
      <c r="J986" s="741"/>
      <c r="K986" s="742"/>
    </row>
    <row r="987" spans="4:11" s="739" customFormat="1" x14ac:dyDescent="0.2">
      <c r="D987" s="740"/>
      <c r="F987" s="741"/>
      <c r="G987" s="741"/>
      <c r="H987" s="741"/>
      <c r="I987" s="741"/>
      <c r="J987" s="741"/>
      <c r="K987" s="742"/>
    </row>
    <row r="988" spans="4:11" s="739" customFormat="1" x14ac:dyDescent="0.2">
      <c r="D988" s="740"/>
      <c r="F988" s="741"/>
      <c r="G988" s="741"/>
      <c r="H988" s="741"/>
      <c r="I988" s="741"/>
      <c r="J988" s="741"/>
      <c r="K988" s="742"/>
    </row>
    <row r="989" spans="4:11" s="739" customFormat="1" x14ac:dyDescent="0.2">
      <c r="D989" s="740"/>
      <c r="F989" s="741"/>
      <c r="G989" s="741"/>
      <c r="H989" s="741"/>
      <c r="I989" s="741"/>
      <c r="J989" s="741"/>
      <c r="K989" s="742"/>
    </row>
    <row r="990" spans="4:11" s="739" customFormat="1" x14ac:dyDescent="0.2">
      <c r="D990" s="740"/>
      <c r="F990" s="741"/>
      <c r="G990" s="741"/>
      <c r="H990" s="741"/>
      <c r="I990" s="741"/>
      <c r="J990" s="741"/>
      <c r="K990" s="742"/>
    </row>
    <row r="991" spans="4:11" s="739" customFormat="1" x14ac:dyDescent="0.2">
      <c r="D991" s="740"/>
      <c r="F991" s="741"/>
      <c r="G991" s="741"/>
      <c r="H991" s="741"/>
      <c r="I991" s="741"/>
      <c r="J991" s="741"/>
      <c r="K991" s="742"/>
    </row>
    <row r="992" spans="4:11" s="739" customFormat="1" x14ac:dyDescent="0.2">
      <c r="D992" s="740"/>
      <c r="F992" s="741"/>
      <c r="G992" s="741"/>
      <c r="H992" s="741"/>
      <c r="I992" s="741"/>
      <c r="J992" s="741"/>
      <c r="K992" s="742"/>
    </row>
    <row r="993" spans="4:11" s="739" customFormat="1" x14ac:dyDescent="0.2">
      <c r="D993" s="740"/>
      <c r="F993" s="741"/>
      <c r="G993" s="741"/>
      <c r="H993" s="741"/>
      <c r="I993" s="741"/>
      <c r="J993" s="741"/>
      <c r="K993" s="742"/>
    </row>
    <row r="994" spans="4:11" s="739" customFormat="1" x14ac:dyDescent="0.2">
      <c r="D994" s="740"/>
      <c r="F994" s="741"/>
      <c r="G994" s="741"/>
      <c r="H994" s="741"/>
      <c r="I994" s="741"/>
      <c r="J994" s="741"/>
      <c r="K994" s="742"/>
    </row>
    <row r="995" spans="4:11" s="739" customFormat="1" x14ac:dyDescent="0.2">
      <c r="D995" s="740"/>
      <c r="F995" s="741"/>
      <c r="G995" s="741"/>
      <c r="H995" s="741"/>
      <c r="I995" s="741"/>
      <c r="J995" s="741"/>
      <c r="K995" s="742"/>
    </row>
    <row r="996" spans="4:11" s="739" customFormat="1" x14ac:dyDescent="0.2">
      <c r="D996" s="740"/>
      <c r="F996" s="741"/>
      <c r="G996" s="741"/>
      <c r="H996" s="741"/>
      <c r="I996" s="741"/>
      <c r="J996" s="741"/>
      <c r="K996" s="742"/>
    </row>
    <row r="997" spans="4:11" s="739" customFormat="1" x14ac:dyDescent="0.2">
      <c r="D997" s="740"/>
      <c r="F997" s="741"/>
      <c r="G997" s="741"/>
      <c r="H997" s="741"/>
      <c r="I997" s="741"/>
      <c r="J997" s="741"/>
      <c r="K997" s="742"/>
    </row>
    <row r="998" spans="4:11" s="739" customFormat="1" x14ac:dyDescent="0.2">
      <c r="D998" s="740"/>
      <c r="F998" s="741"/>
      <c r="G998" s="741"/>
      <c r="H998" s="741"/>
      <c r="I998" s="741"/>
      <c r="J998" s="741"/>
      <c r="K998" s="742"/>
    </row>
    <row r="999" spans="4:11" s="739" customFormat="1" x14ac:dyDescent="0.2">
      <c r="D999" s="740"/>
      <c r="F999" s="741"/>
      <c r="G999" s="741"/>
      <c r="H999" s="741"/>
      <c r="I999" s="741"/>
      <c r="J999" s="741"/>
      <c r="K999" s="742"/>
    </row>
    <row r="1000" spans="4:11" s="739" customFormat="1" x14ac:dyDescent="0.2">
      <c r="D1000" s="740"/>
      <c r="F1000" s="741"/>
      <c r="G1000" s="741"/>
      <c r="H1000" s="741"/>
      <c r="I1000" s="741"/>
      <c r="J1000" s="741"/>
      <c r="K1000" s="742"/>
    </row>
    <row r="1001" spans="4:11" s="739" customFormat="1" x14ac:dyDescent="0.2">
      <c r="D1001" s="740"/>
      <c r="F1001" s="741"/>
      <c r="G1001" s="741"/>
      <c r="H1001" s="741"/>
      <c r="I1001" s="741"/>
      <c r="J1001" s="741"/>
      <c r="K1001" s="742"/>
    </row>
    <row r="1002" spans="4:11" s="739" customFormat="1" x14ac:dyDescent="0.2">
      <c r="D1002" s="740"/>
      <c r="F1002" s="741"/>
      <c r="G1002" s="741"/>
      <c r="H1002" s="741"/>
      <c r="I1002" s="741"/>
      <c r="J1002" s="741"/>
      <c r="K1002" s="742"/>
    </row>
    <row r="1003" spans="4:11" s="739" customFormat="1" x14ac:dyDescent="0.2">
      <c r="D1003" s="740"/>
      <c r="F1003" s="741"/>
      <c r="G1003" s="741"/>
      <c r="H1003" s="741"/>
      <c r="I1003" s="741"/>
      <c r="J1003" s="741"/>
      <c r="K1003" s="742"/>
    </row>
    <row r="1004" spans="4:11" s="739" customFormat="1" x14ac:dyDescent="0.2">
      <c r="D1004" s="740"/>
      <c r="F1004" s="741"/>
      <c r="G1004" s="741"/>
      <c r="H1004" s="741"/>
      <c r="I1004" s="741"/>
      <c r="J1004" s="741"/>
      <c r="K1004" s="742"/>
    </row>
    <row r="1005" spans="4:11" s="739" customFormat="1" x14ac:dyDescent="0.2">
      <c r="D1005" s="740"/>
      <c r="F1005" s="741"/>
      <c r="G1005" s="741"/>
      <c r="H1005" s="741"/>
      <c r="I1005" s="741"/>
      <c r="J1005" s="741"/>
      <c r="K1005" s="742"/>
    </row>
    <row r="1006" spans="4:11" s="739" customFormat="1" x14ac:dyDescent="0.2">
      <c r="D1006" s="740"/>
      <c r="F1006" s="741"/>
      <c r="G1006" s="741"/>
      <c r="H1006" s="741"/>
      <c r="I1006" s="741"/>
      <c r="J1006" s="741"/>
      <c r="K1006" s="742"/>
    </row>
    <row r="1007" spans="4:11" s="739" customFormat="1" x14ac:dyDescent="0.2">
      <c r="D1007" s="740"/>
      <c r="F1007" s="741"/>
      <c r="G1007" s="741"/>
      <c r="H1007" s="741"/>
      <c r="I1007" s="741"/>
      <c r="J1007" s="741"/>
      <c r="K1007" s="742"/>
    </row>
    <row r="1008" spans="4:11" s="739" customFormat="1" x14ac:dyDescent="0.2">
      <c r="D1008" s="740"/>
      <c r="F1008" s="741"/>
      <c r="G1008" s="741"/>
      <c r="H1008" s="741"/>
      <c r="I1008" s="741"/>
      <c r="J1008" s="741"/>
      <c r="K1008" s="742"/>
    </row>
    <row r="1009" spans="4:11" s="739" customFormat="1" x14ac:dyDescent="0.2">
      <c r="D1009" s="740"/>
      <c r="F1009" s="741"/>
      <c r="G1009" s="741"/>
      <c r="H1009" s="741"/>
      <c r="I1009" s="741"/>
      <c r="J1009" s="741"/>
      <c r="K1009" s="742"/>
    </row>
    <row r="1010" spans="4:11" s="739" customFormat="1" x14ac:dyDescent="0.2">
      <c r="D1010" s="740"/>
      <c r="F1010" s="741"/>
      <c r="G1010" s="741"/>
      <c r="H1010" s="741"/>
      <c r="I1010" s="741"/>
      <c r="J1010" s="741"/>
      <c r="K1010" s="742"/>
    </row>
    <row r="1011" spans="4:11" s="739" customFormat="1" x14ac:dyDescent="0.2">
      <c r="D1011" s="740"/>
      <c r="F1011" s="741"/>
      <c r="G1011" s="741"/>
      <c r="H1011" s="741"/>
      <c r="I1011" s="741"/>
      <c r="J1011" s="741"/>
      <c r="K1011" s="742"/>
    </row>
    <row r="1012" spans="4:11" s="739" customFormat="1" x14ac:dyDescent="0.2">
      <c r="D1012" s="740"/>
      <c r="F1012" s="741"/>
      <c r="G1012" s="741"/>
      <c r="H1012" s="741"/>
      <c r="I1012" s="741"/>
      <c r="J1012" s="741"/>
      <c r="K1012" s="742"/>
    </row>
    <row r="1013" spans="4:11" s="739" customFormat="1" x14ac:dyDescent="0.2">
      <c r="D1013" s="740"/>
      <c r="F1013" s="741"/>
      <c r="G1013" s="741"/>
      <c r="H1013" s="741"/>
      <c r="I1013" s="741"/>
      <c r="J1013" s="741"/>
      <c r="K1013" s="742"/>
    </row>
    <row r="1014" spans="4:11" s="739" customFormat="1" x14ac:dyDescent="0.2">
      <c r="D1014" s="740"/>
      <c r="F1014" s="741"/>
      <c r="G1014" s="741"/>
      <c r="H1014" s="741"/>
      <c r="I1014" s="741"/>
      <c r="J1014" s="741"/>
      <c r="K1014" s="742"/>
    </row>
    <row r="1015" spans="4:11" s="739" customFormat="1" x14ac:dyDescent="0.2">
      <c r="D1015" s="740"/>
      <c r="F1015" s="741"/>
      <c r="G1015" s="741"/>
      <c r="H1015" s="741"/>
      <c r="I1015" s="741"/>
      <c r="J1015" s="741"/>
      <c r="K1015" s="742"/>
    </row>
    <row r="1016" spans="4:11" s="739" customFormat="1" x14ac:dyDescent="0.2">
      <c r="D1016" s="740"/>
      <c r="F1016" s="741"/>
      <c r="G1016" s="741"/>
      <c r="H1016" s="741"/>
      <c r="I1016" s="741"/>
      <c r="J1016" s="741"/>
      <c r="K1016" s="742"/>
    </row>
    <row r="1017" spans="4:11" s="739" customFormat="1" x14ac:dyDescent="0.2">
      <c r="D1017" s="740"/>
      <c r="F1017" s="741"/>
      <c r="G1017" s="741"/>
      <c r="H1017" s="741"/>
      <c r="I1017" s="741"/>
      <c r="J1017" s="741"/>
      <c r="K1017" s="742"/>
    </row>
    <row r="1018" spans="4:11" s="739" customFormat="1" x14ac:dyDescent="0.2">
      <c r="D1018" s="740"/>
      <c r="F1018" s="741"/>
      <c r="G1018" s="741"/>
      <c r="H1018" s="741"/>
      <c r="I1018" s="741"/>
      <c r="J1018" s="741"/>
      <c r="K1018" s="742"/>
    </row>
    <row r="1019" spans="4:11" s="739" customFormat="1" x14ac:dyDescent="0.2">
      <c r="D1019" s="740"/>
      <c r="F1019" s="741"/>
      <c r="G1019" s="741"/>
      <c r="H1019" s="741"/>
      <c r="I1019" s="741"/>
      <c r="J1019" s="741"/>
      <c r="K1019" s="742"/>
    </row>
    <row r="1020" spans="4:11" s="739" customFormat="1" x14ac:dyDescent="0.2">
      <c r="D1020" s="740"/>
      <c r="F1020" s="741"/>
      <c r="G1020" s="741"/>
      <c r="H1020" s="741"/>
      <c r="I1020" s="741"/>
      <c r="J1020" s="741"/>
      <c r="K1020" s="742"/>
    </row>
    <row r="1021" spans="4:11" s="739" customFormat="1" x14ac:dyDescent="0.2">
      <c r="D1021" s="740"/>
      <c r="F1021" s="741"/>
      <c r="G1021" s="741"/>
      <c r="H1021" s="741"/>
      <c r="I1021" s="741"/>
      <c r="J1021" s="741"/>
      <c r="K1021" s="742"/>
    </row>
    <row r="1022" spans="4:11" s="739" customFormat="1" x14ac:dyDescent="0.2">
      <c r="D1022" s="740"/>
      <c r="F1022" s="741"/>
      <c r="G1022" s="741"/>
      <c r="H1022" s="741"/>
      <c r="I1022" s="741"/>
      <c r="J1022" s="741"/>
      <c r="K1022" s="742"/>
    </row>
    <row r="1023" spans="4:11" s="739" customFormat="1" x14ac:dyDescent="0.2">
      <c r="D1023" s="740"/>
      <c r="F1023" s="741"/>
      <c r="G1023" s="741"/>
      <c r="H1023" s="741"/>
      <c r="I1023" s="741"/>
      <c r="J1023" s="741"/>
      <c r="K1023" s="742"/>
    </row>
    <row r="1024" spans="4:11" s="739" customFormat="1" x14ac:dyDescent="0.2">
      <c r="D1024" s="740"/>
      <c r="F1024" s="741"/>
      <c r="G1024" s="741"/>
      <c r="H1024" s="741"/>
      <c r="I1024" s="741"/>
      <c r="J1024" s="741"/>
      <c r="K1024" s="742"/>
    </row>
    <row r="1025" spans="4:11" s="739" customFormat="1" x14ac:dyDescent="0.2">
      <c r="D1025" s="740"/>
      <c r="F1025" s="741"/>
      <c r="G1025" s="741"/>
      <c r="H1025" s="741"/>
      <c r="I1025" s="741"/>
      <c r="J1025" s="741"/>
      <c r="K1025" s="742"/>
    </row>
    <row r="1026" spans="4:11" s="739" customFormat="1" x14ac:dyDescent="0.2">
      <c r="D1026" s="740"/>
      <c r="F1026" s="741"/>
      <c r="G1026" s="741"/>
      <c r="H1026" s="741"/>
      <c r="I1026" s="741"/>
      <c r="J1026" s="741"/>
      <c r="K1026" s="742"/>
    </row>
    <row r="1027" spans="4:11" s="739" customFormat="1" x14ac:dyDescent="0.2">
      <c r="D1027" s="740"/>
      <c r="F1027" s="741"/>
      <c r="G1027" s="741"/>
      <c r="H1027" s="741"/>
      <c r="I1027" s="741"/>
      <c r="J1027" s="741"/>
      <c r="K1027" s="742"/>
    </row>
    <row r="1028" spans="4:11" s="739" customFormat="1" x14ac:dyDescent="0.2">
      <c r="D1028" s="740"/>
      <c r="F1028" s="741"/>
      <c r="G1028" s="741"/>
      <c r="H1028" s="741"/>
      <c r="I1028" s="741"/>
      <c r="J1028" s="741"/>
      <c r="K1028" s="742"/>
    </row>
    <row r="1029" spans="4:11" s="739" customFormat="1" x14ac:dyDescent="0.2">
      <c r="D1029" s="740"/>
      <c r="F1029" s="741"/>
      <c r="G1029" s="741"/>
      <c r="H1029" s="741"/>
      <c r="I1029" s="741"/>
      <c r="J1029" s="741"/>
      <c r="K1029" s="742"/>
    </row>
    <row r="1030" spans="4:11" s="739" customFormat="1" x14ac:dyDescent="0.2">
      <c r="D1030" s="740"/>
      <c r="F1030" s="741"/>
      <c r="G1030" s="741"/>
      <c r="H1030" s="741"/>
      <c r="I1030" s="741"/>
      <c r="J1030" s="741"/>
      <c r="K1030" s="742"/>
    </row>
    <row r="1031" spans="4:11" s="739" customFormat="1" x14ac:dyDescent="0.2">
      <c r="D1031" s="740"/>
      <c r="F1031" s="741"/>
      <c r="G1031" s="741"/>
      <c r="H1031" s="741"/>
      <c r="I1031" s="741"/>
      <c r="J1031" s="741"/>
      <c r="K1031" s="742"/>
    </row>
    <row r="1032" spans="4:11" s="739" customFormat="1" x14ac:dyDescent="0.2">
      <c r="D1032" s="740"/>
      <c r="F1032" s="741"/>
      <c r="G1032" s="741"/>
      <c r="H1032" s="741"/>
      <c r="I1032" s="741"/>
      <c r="J1032" s="741"/>
      <c r="K1032" s="742"/>
    </row>
    <row r="1033" spans="4:11" s="739" customFormat="1" x14ac:dyDescent="0.2">
      <c r="D1033" s="740"/>
      <c r="F1033" s="741"/>
      <c r="G1033" s="741"/>
      <c r="H1033" s="741"/>
      <c r="I1033" s="741"/>
      <c r="J1033" s="741"/>
      <c r="K1033" s="742"/>
    </row>
    <row r="1034" spans="4:11" s="739" customFormat="1" x14ac:dyDescent="0.2">
      <c r="D1034" s="740"/>
      <c r="F1034" s="741"/>
      <c r="G1034" s="741"/>
      <c r="H1034" s="741"/>
      <c r="I1034" s="741"/>
      <c r="J1034" s="741"/>
      <c r="K1034" s="742"/>
    </row>
    <row r="1035" spans="4:11" s="739" customFormat="1" x14ac:dyDescent="0.2">
      <c r="D1035" s="740"/>
      <c r="F1035" s="741"/>
      <c r="G1035" s="741"/>
      <c r="H1035" s="741"/>
      <c r="I1035" s="741"/>
      <c r="J1035" s="741"/>
      <c r="K1035" s="742"/>
    </row>
    <row r="1036" spans="4:11" s="739" customFormat="1" x14ac:dyDescent="0.2">
      <c r="D1036" s="740"/>
      <c r="F1036" s="741"/>
      <c r="G1036" s="741"/>
      <c r="H1036" s="741"/>
      <c r="I1036" s="741"/>
      <c r="J1036" s="741"/>
      <c r="K1036" s="742"/>
    </row>
    <row r="1037" spans="4:11" s="739" customFormat="1" x14ac:dyDescent="0.2">
      <c r="D1037" s="740"/>
      <c r="F1037" s="741"/>
      <c r="G1037" s="741"/>
      <c r="H1037" s="741"/>
      <c r="I1037" s="741"/>
      <c r="J1037" s="741"/>
      <c r="K1037" s="742"/>
    </row>
    <row r="1038" spans="4:11" s="739" customFormat="1" x14ac:dyDescent="0.2">
      <c r="D1038" s="740"/>
      <c r="F1038" s="741"/>
      <c r="G1038" s="741"/>
      <c r="H1038" s="741"/>
      <c r="I1038" s="741"/>
      <c r="J1038" s="741"/>
      <c r="K1038" s="742"/>
    </row>
    <row r="1039" spans="4:11" s="739" customFormat="1" x14ac:dyDescent="0.2">
      <c r="D1039" s="740"/>
      <c r="F1039" s="741"/>
      <c r="G1039" s="741"/>
      <c r="H1039" s="741"/>
      <c r="I1039" s="741"/>
      <c r="J1039" s="741"/>
      <c r="K1039" s="742"/>
    </row>
    <row r="1040" spans="4:11" s="739" customFormat="1" x14ac:dyDescent="0.2">
      <c r="D1040" s="740"/>
      <c r="F1040" s="741"/>
      <c r="G1040" s="741"/>
      <c r="H1040" s="741"/>
      <c r="I1040" s="741"/>
      <c r="J1040" s="741"/>
      <c r="K1040" s="742"/>
    </row>
    <row r="1041" spans="4:11" s="739" customFormat="1" x14ac:dyDescent="0.2">
      <c r="D1041" s="740"/>
      <c r="F1041" s="741"/>
      <c r="G1041" s="741"/>
      <c r="H1041" s="741"/>
      <c r="I1041" s="741"/>
      <c r="J1041" s="741"/>
      <c r="K1041" s="742"/>
    </row>
    <row r="1042" spans="4:11" s="739" customFormat="1" x14ac:dyDescent="0.2">
      <c r="D1042" s="740"/>
      <c r="F1042" s="741"/>
      <c r="G1042" s="741"/>
      <c r="H1042" s="741"/>
      <c r="I1042" s="741"/>
      <c r="J1042" s="741"/>
      <c r="K1042" s="742"/>
    </row>
    <row r="1043" spans="4:11" s="739" customFormat="1" x14ac:dyDescent="0.2">
      <c r="D1043" s="740"/>
      <c r="F1043" s="741"/>
      <c r="G1043" s="741"/>
      <c r="H1043" s="741"/>
      <c r="I1043" s="741"/>
      <c r="J1043" s="741"/>
      <c r="K1043" s="742"/>
    </row>
    <row r="1044" spans="4:11" s="739" customFormat="1" x14ac:dyDescent="0.2">
      <c r="D1044" s="740"/>
      <c r="F1044" s="741"/>
      <c r="G1044" s="741"/>
      <c r="H1044" s="741"/>
      <c r="I1044" s="741"/>
      <c r="J1044" s="741"/>
      <c r="K1044" s="742"/>
    </row>
    <row r="1045" spans="4:11" s="739" customFormat="1" x14ac:dyDescent="0.2">
      <c r="D1045" s="740"/>
      <c r="F1045" s="741"/>
      <c r="G1045" s="741"/>
      <c r="H1045" s="741"/>
      <c r="I1045" s="741"/>
      <c r="J1045" s="741"/>
      <c r="K1045" s="742"/>
    </row>
    <row r="1046" spans="4:11" s="739" customFormat="1" x14ac:dyDescent="0.2">
      <c r="D1046" s="740"/>
      <c r="F1046" s="741"/>
      <c r="G1046" s="741"/>
      <c r="H1046" s="741"/>
      <c r="I1046" s="741"/>
      <c r="J1046" s="741"/>
      <c r="K1046" s="742"/>
    </row>
    <row r="1047" spans="4:11" s="739" customFormat="1" x14ac:dyDescent="0.2">
      <c r="D1047" s="740"/>
      <c r="F1047" s="741"/>
      <c r="G1047" s="741"/>
      <c r="H1047" s="741"/>
      <c r="I1047" s="741"/>
      <c r="J1047" s="741"/>
      <c r="K1047" s="742"/>
    </row>
    <row r="1048" spans="4:11" s="739" customFormat="1" x14ac:dyDescent="0.2">
      <c r="D1048" s="740"/>
      <c r="F1048" s="741"/>
      <c r="G1048" s="741"/>
      <c r="H1048" s="741"/>
      <c r="I1048" s="741"/>
      <c r="J1048" s="741"/>
      <c r="K1048" s="742"/>
    </row>
    <row r="1049" spans="4:11" s="739" customFormat="1" x14ac:dyDescent="0.2">
      <c r="D1049" s="740"/>
      <c r="F1049" s="741"/>
      <c r="G1049" s="741"/>
      <c r="H1049" s="741"/>
      <c r="I1049" s="741"/>
      <c r="J1049" s="741"/>
      <c r="K1049" s="742"/>
    </row>
    <row r="1050" spans="4:11" s="739" customFormat="1" x14ac:dyDescent="0.2">
      <c r="D1050" s="740"/>
      <c r="F1050" s="741"/>
      <c r="G1050" s="741"/>
      <c r="H1050" s="741"/>
      <c r="I1050" s="741"/>
      <c r="J1050" s="741"/>
      <c r="K1050" s="742"/>
    </row>
    <row r="1051" spans="4:11" s="739" customFormat="1" x14ac:dyDescent="0.2">
      <c r="D1051" s="740"/>
      <c r="F1051" s="741"/>
      <c r="G1051" s="741"/>
      <c r="H1051" s="741"/>
      <c r="I1051" s="741"/>
      <c r="J1051" s="741"/>
      <c r="K1051" s="742"/>
    </row>
    <row r="1052" spans="4:11" s="739" customFormat="1" x14ac:dyDescent="0.2">
      <c r="D1052" s="740"/>
      <c r="F1052" s="741"/>
      <c r="G1052" s="741"/>
      <c r="H1052" s="741"/>
      <c r="I1052" s="741"/>
      <c r="J1052" s="741"/>
      <c r="K1052" s="742"/>
    </row>
    <row r="1053" spans="4:11" s="739" customFormat="1" x14ac:dyDescent="0.2">
      <c r="D1053" s="740"/>
      <c r="F1053" s="741"/>
      <c r="G1053" s="741"/>
      <c r="H1053" s="741"/>
      <c r="I1053" s="741"/>
      <c r="J1053" s="741"/>
      <c r="K1053" s="742"/>
    </row>
    <row r="1054" spans="4:11" s="739" customFormat="1" x14ac:dyDescent="0.2">
      <c r="D1054" s="740"/>
      <c r="F1054" s="741"/>
      <c r="G1054" s="741"/>
      <c r="H1054" s="741"/>
      <c r="I1054" s="741"/>
      <c r="J1054" s="741"/>
      <c r="K1054" s="742"/>
    </row>
    <row r="1055" spans="4:11" s="739" customFormat="1" x14ac:dyDescent="0.2">
      <c r="D1055" s="740"/>
      <c r="F1055" s="741"/>
      <c r="G1055" s="741"/>
      <c r="H1055" s="741"/>
      <c r="I1055" s="741"/>
      <c r="J1055" s="741"/>
      <c r="K1055" s="742"/>
    </row>
    <row r="1056" spans="4:11" s="739" customFormat="1" x14ac:dyDescent="0.2">
      <c r="D1056" s="740"/>
      <c r="F1056" s="741"/>
      <c r="G1056" s="741"/>
      <c r="H1056" s="741"/>
      <c r="I1056" s="741"/>
      <c r="J1056" s="741"/>
      <c r="K1056" s="742"/>
    </row>
    <row r="1057" spans="4:11" s="739" customFormat="1" x14ac:dyDescent="0.2">
      <c r="D1057" s="740"/>
      <c r="F1057" s="741"/>
      <c r="G1057" s="741"/>
      <c r="H1057" s="741"/>
      <c r="I1057" s="741"/>
      <c r="J1057" s="741"/>
      <c r="K1057" s="742"/>
    </row>
    <row r="1058" spans="4:11" s="739" customFormat="1" x14ac:dyDescent="0.2">
      <c r="D1058" s="740"/>
      <c r="F1058" s="741"/>
      <c r="G1058" s="741"/>
      <c r="H1058" s="741"/>
      <c r="I1058" s="741"/>
      <c r="J1058" s="741"/>
      <c r="K1058" s="742"/>
    </row>
    <row r="1059" spans="4:11" s="739" customFormat="1" x14ac:dyDescent="0.2">
      <c r="D1059" s="740"/>
      <c r="F1059" s="741"/>
      <c r="G1059" s="741"/>
      <c r="H1059" s="741"/>
      <c r="I1059" s="741"/>
      <c r="J1059" s="741"/>
      <c r="K1059" s="742"/>
    </row>
    <row r="1060" spans="4:11" s="739" customFormat="1" x14ac:dyDescent="0.2">
      <c r="D1060" s="740"/>
      <c r="F1060" s="741"/>
      <c r="G1060" s="741"/>
      <c r="H1060" s="741"/>
      <c r="I1060" s="741"/>
      <c r="J1060" s="741"/>
      <c r="K1060" s="742"/>
    </row>
    <row r="1061" spans="4:11" s="739" customFormat="1" x14ac:dyDescent="0.2">
      <c r="D1061" s="740"/>
      <c r="F1061" s="741"/>
      <c r="G1061" s="741"/>
      <c r="H1061" s="741"/>
      <c r="I1061" s="741"/>
      <c r="J1061" s="741"/>
      <c r="K1061" s="742"/>
    </row>
    <row r="1062" spans="4:11" s="739" customFormat="1" x14ac:dyDescent="0.2">
      <c r="D1062" s="740"/>
      <c r="F1062" s="741"/>
      <c r="G1062" s="741"/>
      <c r="H1062" s="741"/>
      <c r="I1062" s="741"/>
      <c r="J1062" s="741"/>
      <c r="K1062" s="742"/>
    </row>
    <row r="1063" spans="4:11" s="739" customFormat="1" x14ac:dyDescent="0.2">
      <c r="D1063" s="740"/>
      <c r="F1063" s="741"/>
      <c r="G1063" s="741"/>
      <c r="H1063" s="741"/>
      <c r="I1063" s="741"/>
      <c r="J1063" s="741"/>
      <c r="K1063" s="742"/>
    </row>
    <row r="1064" spans="4:11" s="739" customFormat="1" x14ac:dyDescent="0.2">
      <c r="D1064" s="740"/>
      <c r="F1064" s="741"/>
      <c r="G1064" s="741"/>
      <c r="H1064" s="741"/>
      <c r="I1064" s="741"/>
      <c r="J1064" s="741"/>
      <c r="K1064" s="742"/>
    </row>
    <row r="1065" spans="4:11" s="739" customFormat="1" x14ac:dyDescent="0.2">
      <c r="D1065" s="740"/>
      <c r="F1065" s="741"/>
      <c r="G1065" s="741"/>
      <c r="H1065" s="741"/>
      <c r="I1065" s="741"/>
      <c r="J1065" s="741"/>
      <c r="K1065" s="742"/>
    </row>
    <row r="1066" spans="4:11" s="739" customFormat="1" x14ac:dyDescent="0.2">
      <c r="D1066" s="740"/>
      <c r="F1066" s="741"/>
      <c r="G1066" s="741"/>
      <c r="H1066" s="741"/>
      <c r="I1066" s="741"/>
      <c r="J1066" s="741"/>
      <c r="K1066" s="742"/>
    </row>
    <row r="1067" spans="4:11" s="739" customFormat="1" x14ac:dyDescent="0.2">
      <c r="D1067" s="740"/>
      <c r="F1067" s="741"/>
      <c r="G1067" s="741"/>
      <c r="H1067" s="741"/>
      <c r="I1067" s="741"/>
      <c r="J1067" s="741"/>
      <c r="K1067" s="742"/>
    </row>
    <row r="1068" spans="4:11" s="739" customFormat="1" x14ac:dyDescent="0.2">
      <c r="D1068" s="740"/>
      <c r="F1068" s="741"/>
      <c r="G1068" s="741"/>
      <c r="H1068" s="741"/>
      <c r="I1068" s="741"/>
      <c r="J1068" s="741"/>
      <c r="K1068" s="742"/>
    </row>
    <row r="1069" spans="4:11" s="739" customFormat="1" x14ac:dyDescent="0.2">
      <c r="D1069" s="740"/>
      <c r="F1069" s="741"/>
      <c r="G1069" s="741"/>
      <c r="H1069" s="741"/>
      <c r="I1069" s="741"/>
      <c r="J1069" s="741"/>
      <c r="K1069" s="742"/>
    </row>
    <row r="1070" spans="4:11" s="739" customFormat="1" x14ac:dyDescent="0.2">
      <c r="D1070" s="740"/>
      <c r="F1070" s="741"/>
      <c r="G1070" s="741"/>
      <c r="H1070" s="741"/>
      <c r="I1070" s="741"/>
      <c r="J1070" s="741"/>
      <c r="K1070" s="742"/>
    </row>
    <row r="1071" spans="4:11" s="739" customFormat="1" x14ac:dyDescent="0.2">
      <c r="D1071" s="740"/>
      <c r="F1071" s="741"/>
      <c r="G1071" s="741"/>
      <c r="H1071" s="741"/>
      <c r="I1071" s="741"/>
      <c r="J1071" s="741"/>
      <c r="K1071" s="742"/>
    </row>
    <row r="1072" spans="4:11" s="739" customFormat="1" x14ac:dyDescent="0.2">
      <c r="D1072" s="740"/>
      <c r="F1072" s="741"/>
      <c r="G1072" s="741"/>
      <c r="H1072" s="741"/>
      <c r="I1072" s="741"/>
      <c r="J1072" s="741"/>
      <c r="K1072" s="742"/>
    </row>
    <row r="1073" spans="4:11" s="739" customFormat="1" x14ac:dyDescent="0.2">
      <c r="D1073" s="740"/>
      <c r="F1073" s="741"/>
      <c r="G1073" s="741"/>
      <c r="H1073" s="741"/>
      <c r="I1073" s="741"/>
      <c r="J1073" s="741"/>
      <c r="K1073" s="742"/>
    </row>
    <row r="1074" spans="4:11" s="739" customFormat="1" x14ac:dyDescent="0.2">
      <c r="D1074" s="740"/>
      <c r="F1074" s="741"/>
      <c r="G1074" s="741"/>
      <c r="H1074" s="741"/>
      <c r="I1074" s="741"/>
      <c r="J1074" s="741"/>
      <c r="K1074" s="742"/>
    </row>
    <row r="1075" spans="4:11" s="739" customFormat="1" x14ac:dyDescent="0.2">
      <c r="D1075" s="740"/>
      <c r="F1075" s="741"/>
      <c r="G1075" s="741"/>
      <c r="H1075" s="741"/>
      <c r="I1075" s="741"/>
      <c r="J1075" s="741"/>
      <c r="K1075" s="742"/>
    </row>
    <row r="1076" spans="4:11" s="739" customFormat="1" x14ac:dyDescent="0.2">
      <c r="D1076" s="740"/>
      <c r="F1076" s="741"/>
      <c r="G1076" s="741"/>
      <c r="H1076" s="741"/>
      <c r="I1076" s="741"/>
      <c r="J1076" s="741"/>
      <c r="K1076" s="742"/>
    </row>
    <row r="1077" spans="4:11" s="739" customFormat="1" x14ac:dyDescent="0.2">
      <c r="D1077" s="740"/>
      <c r="F1077" s="741"/>
      <c r="G1077" s="741"/>
      <c r="H1077" s="741"/>
      <c r="I1077" s="741"/>
      <c r="J1077" s="741"/>
      <c r="K1077" s="742"/>
    </row>
    <row r="1078" spans="4:11" s="739" customFormat="1" x14ac:dyDescent="0.2">
      <c r="D1078" s="740"/>
      <c r="F1078" s="741"/>
      <c r="G1078" s="741"/>
      <c r="H1078" s="741"/>
      <c r="I1078" s="741"/>
      <c r="J1078" s="741"/>
      <c r="K1078" s="742"/>
    </row>
    <row r="1079" spans="4:11" s="739" customFormat="1" x14ac:dyDescent="0.2">
      <c r="D1079" s="740"/>
      <c r="F1079" s="741"/>
      <c r="G1079" s="741"/>
      <c r="H1079" s="741"/>
      <c r="I1079" s="741"/>
      <c r="J1079" s="741"/>
      <c r="K1079" s="742"/>
    </row>
    <row r="1080" spans="4:11" s="739" customFormat="1" x14ac:dyDescent="0.2">
      <c r="D1080" s="740"/>
      <c r="F1080" s="741"/>
      <c r="G1080" s="741"/>
      <c r="H1080" s="741"/>
      <c r="I1080" s="741"/>
      <c r="J1080" s="741"/>
      <c r="K1080" s="742"/>
    </row>
    <row r="1081" spans="4:11" s="739" customFormat="1" x14ac:dyDescent="0.2">
      <c r="D1081" s="740"/>
      <c r="F1081" s="741"/>
      <c r="G1081" s="741"/>
      <c r="H1081" s="741"/>
      <c r="I1081" s="741"/>
      <c r="J1081" s="741"/>
      <c r="K1081" s="742"/>
    </row>
    <row r="1082" spans="4:11" s="739" customFormat="1" x14ac:dyDescent="0.2">
      <c r="D1082" s="740"/>
      <c r="F1082" s="741"/>
      <c r="G1082" s="741"/>
      <c r="H1082" s="741"/>
      <c r="I1082" s="741"/>
      <c r="J1082" s="741"/>
      <c r="K1082" s="742"/>
    </row>
    <row r="1083" spans="4:11" s="739" customFormat="1" x14ac:dyDescent="0.2">
      <c r="D1083" s="740"/>
      <c r="F1083" s="741"/>
      <c r="G1083" s="741"/>
      <c r="H1083" s="741"/>
      <c r="I1083" s="741"/>
      <c r="J1083" s="741"/>
      <c r="K1083" s="742"/>
    </row>
    <row r="1084" spans="4:11" s="739" customFormat="1" x14ac:dyDescent="0.2">
      <c r="D1084" s="740"/>
      <c r="F1084" s="741"/>
      <c r="G1084" s="741"/>
      <c r="H1084" s="741"/>
      <c r="I1084" s="741"/>
      <c r="J1084" s="741"/>
      <c r="K1084" s="742"/>
    </row>
    <row r="1085" spans="4:11" s="739" customFormat="1" x14ac:dyDescent="0.2">
      <c r="D1085" s="740"/>
      <c r="F1085" s="741"/>
      <c r="G1085" s="741"/>
      <c r="H1085" s="741"/>
      <c r="I1085" s="741"/>
      <c r="J1085" s="741"/>
      <c r="K1085" s="742"/>
    </row>
    <row r="1086" spans="4:11" s="739" customFormat="1" x14ac:dyDescent="0.2">
      <c r="D1086" s="740"/>
      <c r="F1086" s="741"/>
      <c r="G1086" s="741"/>
      <c r="H1086" s="741"/>
      <c r="I1086" s="741"/>
      <c r="J1086" s="741"/>
      <c r="K1086" s="742"/>
    </row>
    <row r="1087" spans="4:11" s="739" customFormat="1" x14ac:dyDescent="0.2">
      <c r="D1087" s="740"/>
      <c r="F1087" s="741"/>
      <c r="G1087" s="741"/>
      <c r="H1087" s="741"/>
      <c r="I1087" s="741"/>
      <c r="J1087" s="741"/>
      <c r="K1087" s="742"/>
    </row>
    <row r="1088" spans="4:11" s="739" customFormat="1" x14ac:dyDescent="0.2">
      <c r="D1088" s="740"/>
      <c r="F1088" s="741"/>
      <c r="G1088" s="741"/>
      <c r="H1088" s="741"/>
      <c r="I1088" s="741"/>
      <c r="J1088" s="741"/>
      <c r="K1088" s="742"/>
    </row>
    <row r="1089" spans="4:11" s="739" customFormat="1" x14ac:dyDescent="0.2">
      <c r="D1089" s="740"/>
      <c r="F1089" s="741"/>
      <c r="G1089" s="741"/>
      <c r="H1089" s="741"/>
      <c r="I1089" s="741"/>
      <c r="J1089" s="741"/>
      <c r="K1089" s="742"/>
    </row>
    <row r="1090" spans="4:11" s="739" customFormat="1" x14ac:dyDescent="0.2">
      <c r="D1090" s="740"/>
      <c r="F1090" s="741"/>
      <c r="G1090" s="741"/>
      <c r="H1090" s="741"/>
      <c r="I1090" s="741"/>
      <c r="J1090" s="741"/>
      <c r="K1090" s="742"/>
    </row>
    <row r="1091" spans="4:11" s="739" customFormat="1" x14ac:dyDescent="0.2">
      <c r="D1091" s="740"/>
      <c r="F1091" s="741"/>
      <c r="G1091" s="741"/>
      <c r="H1091" s="741"/>
      <c r="I1091" s="741"/>
      <c r="J1091" s="741"/>
      <c r="K1091" s="742"/>
    </row>
    <row r="1092" spans="4:11" s="739" customFormat="1" x14ac:dyDescent="0.2">
      <c r="D1092" s="740"/>
      <c r="F1092" s="741"/>
      <c r="G1092" s="741"/>
      <c r="H1092" s="741"/>
      <c r="I1092" s="741"/>
      <c r="J1092" s="741"/>
      <c r="K1092" s="742"/>
    </row>
    <row r="1093" spans="4:11" s="739" customFormat="1" x14ac:dyDescent="0.2">
      <c r="D1093" s="740"/>
      <c r="F1093" s="741"/>
      <c r="G1093" s="741"/>
      <c r="H1093" s="741"/>
      <c r="I1093" s="741"/>
      <c r="J1093" s="741"/>
      <c r="K1093" s="742"/>
    </row>
    <row r="1094" spans="4:11" s="739" customFormat="1" x14ac:dyDescent="0.2">
      <c r="D1094" s="740"/>
      <c r="F1094" s="741"/>
      <c r="G1094" s="741"/>
      <c r="H1094" s="741"/>
      <c r="I1094" s="741"/>
      <c r="J1094" s="741"/>
      <c r="K1094" s="742"/>
    </row>
    <row r="1095" spans="4:11" s="739" customFormat="1" x14ac:dyDescent="0.2">
      <c r="D1095" s="740"/>
      <c r="F1095" s="741"/>
      <c r="G1095" s="741"/>
      <c r="H1095" s="741"/>
      <c r="I1095" s="741"/>
      <c r="J1095" s="741"/>
      <c r="K1095" s="742"/>
    </row>
    <row r="1096" spans="4:11" s="739" customFormat="1" x14ac:dyDescent="0.2">
      <c r="D1096" s="740"/>
      <c r="F1096" s="741"/>
      <c r="G1096" s="741"/>
      <c r="H1096" s="741"/>
      <c r="I1096" s="741"/>
      <c r="J1096" s="741"/>
      <c r="K1096" s="742"/>
    </row>
    <row r="1097" spans="4:11" s="739" customFormat="1" x14ac:dyDescent="0.2">
      <c r="D1097" s="740"/>
      <c r="F1097" s="741"/>
      <c r="G1097" s="741"/>
      <c r="H1097" s="741"/>
      <c r="I1097" s="741"/>
      <c r="J1097" s="741"/>
      <c r="K1097" s="742"/>
    </row>
    <row r="1098" spans="4:11" s="739" customFormat="1" x14ac:dyDescent="0.2">
      <c r="D1098" s="740"/>
      <c r="F1098" s="741"/>
      <c r="G1098" s="741"/>
      <c r="H1098" s="741"/>
      <c r="I1098" s="741"/>
      <c r="J1098" s="741"/>
      <c r="K1098" s="742"/>
    </row>
    <row r="1099" spans="4:11" s="739" customFormat="1" x14ac:dyDescent="0.2">
      <c r="D1099" s="740"/>
      <c r="F1099" s="741"/>
      <c r="G1099" s="741"/>
      <c r="H1099" s="741"/>
      <c r="I1099" s="741"/>
      <c r="J1099" s="741"/>
      <c r="K1099" s="742"/>
    </row>
    <row r="1100" spans="4:11" s="739" customFormat="1" x14ac:dyDescent="0.2">
      <c r="D1100" s="740"/>
      <c r="F1100" s="741"/>
      <c r="G1100" s="741"/>
      <c r="H1100" s="741"/>
      <c r="I1100" s="741"/>
      <c r="J1100" s="741"/>
      <c r="K1100" s="742"/>
    </row>
    <row r="1101" spans="4:11" s="739" customFormat="1" x14ac:dyDescent="0.2">
      <c r="D1101" s="740"/>
      <c r="F1101" s="741"/>
      <c r="G1101" s="741"/>
      <c r="H1101" s="741"/>
      <c r="I1101" s="741"/>
      <c r="J1101" s="741"/>
      <c r="K1101" s="742"/>
    </row>
    <row r="1102" spans="4:11" s="739" customFormat="1" x14ac:dyDescent="0.2">
      <c r="D1102" s="740"/>
      <c r="F1102" s="741"/>
      <c r="G1102" s="741"/>
      <c r="H1102" s="741"/>
      <c r="I1102" s="741"/>
      <c r="J1102" s="741"/>
      <c r="K1102" s="742"/>
    </row>
    <row r="1103" spans="4:11" s="739" customFormat="1" x14ac:dyDescent="0.2">
      <c r="D1103" s="740"/>
      <c r="F1103" s="741"/>
      <c r="G1103" s="741"/>
      <c r="H1103" s="741"/>
      <c r="I1103" s="741"/>
      <c r="J1103" s="741"/>
      <c r="K1103" s="742"/>
    </row>
    <row r="1104" spans="4:11" s="739" customFormat="1" x14ac:dyDescent="0.2">
      <c r="D1104" s="740"/>
      <c r="F1104" s="741"/>
      <c r="G1104" s="741"/>
      <c r="H1104" s="741"/>
      <c r="I1104" s="741"/>
      <c r="J1104" s="741"/>
      <c r="K1104" s="742"/>
    </row>
    <row r="1105" spans="4:11" s="739" customFormat="1" x14ac:dyDescent="0.2">
      <c r="D1105" s="740"/>
      <c r="F1105" s="741"/>
      <c r="G1105" s="741"/>
      <c r="H1105" s="741"/>
      <c r="I1105" s="741"/>
      <c r="J1105" s="741"/>
      <c r="K1105" s="742"/>
    </row>
    <row r="1106" spans="4:11" s="739" customFormat="1" x14ac:dyDescent="0.2">
      <c r="D1106" s="740"/>
      <c r="F1106" s="741"/>
      <c r="G1106" s="741"/>
      <c r="H1106" s="741"/>
      <c r="I1106" s="741"/>
      <c r="J1106" s="741"/>
      <c r="K1106" s="742"/>
    </row>
    <row r="1107" spans="4:11" s="739" customFormat="1" x14ac:dyDescent="0.2">
      <c r="D1107" s="740"/>
      <c r="F1107" s="741"/>
      <c r="G1107" s="741"/>
      <c r="H1107" s="741"/>
      <c r="I1107" s="741"/>
      <c r="J1107" s="741"/>
      <c r="K1107" s="742"/>
    </row>
    <row r="1108" spans="4:11" s="739" customFormat="1" x14ac:dyDescent="0.2">
      <c r="D1108" s="740"/>
      <c r="F1108" s="741"/>
      <c r="G1108" s="741"/>
      <c r="H1108" s="741"/>
      <c r="I1108" s="741"/>
      <c r="J1108" s="741"/>
      <c r="K1108" s="742"/>
    </row>
    <row r="1109" spans="4:11" s="739" customFormat="1" x14ac:dyDescent="0.2">
      <c r="D1109" s="740"/>
      <c r="F1109" s="741"/>
      <c r="G1109" s="741"/>
      <c r="H1109" s="741"/>
      <c r="I1109" s="741"/>
      <c r="J1109" s="741"/>
      <c r="K1109" s="742"/>
    </row>
    <row r="1110" spans="4:11" s="739" customFormat="1" x14ac:dyDescent="0.2">
      <c r="D1110" s="740"/>
      <c r="F1110" s="741"/>
      <c r="G1110" s="741"/>
      <c r="H1110" s="741"/>
      <c r="I1110" s="741"/>
      <c r="J1110" s="741"/>
      <c r="K1110" s="742"/>
    </row>
    <row r="1111" spans="4:11" s="739" customFormat="1" x14ac:dyDescent="0.2">
      <c r="D1111" s="740"/>
      <c r="F1111" s="741"/>
      <c r="G1111" s="741"/>
      <c r="H1111" s="741"/>
      <c r="I1111" s="741"/>
      <c r="J1111" s="741"/>
      <c r="K1111" s="742"/>
    </row>
    <row r="1112" spans="4:11" s="739" customFormat="1" x14ac:dyDescent="0.2">
      <c r="D1112" s="740"/>
      <c r="F1112" s="741"/>
      <c r="G1112" s="741"/>
      <c r="H1112" s="741"/>
      <c r="I1112" s="741"/>
      <c r="J1112" s="741"/>
      <c r="K1112" s="742"/>
    </row>
    <row r="1113" spans="4:11" s="739" customFormat="1" x14ac:dyDescent="0.2">
      <c r="D1113" s="740"/>
      <c r="F1113" s="741"/>
      <c r="G1113" s="741"/>
      <c r="H1113" s="741"/>
      <c r="I1113" s="741"/>
      <c r="J1113" s="741"/>
      <c r="K1113" s="742"/>
    </row>
    <row r="1114" spans="4:11" s="739" customFormat="1" x14ac:dyDescent="0.2">
      <c r="D1114" s="740"/>
      <c r="F1114" s="741"/>
      <c r="G1114" s="741"/>
      <c r="H1114" s="741"/>
      <c r="I1114" s="741"/>
      <c r="J1114" s="741"/>
      <c r="K1114" s="742"/>
    </row>
    <row r="1115" spans="4:11" s="739" customFormat="1" x14ac:dyDescent="0.2">
      <c r="D1115" s="740"/>
      <c r="F1115" s="741"/>
      <c r="G1115" s="741"/>
      <c r="H1115" s="741"/>
      <c r="I1115" s="741"/>
      <c r="J1115" s="741"/>
      <c r="K1115" s="742"/>
    </row>
    <row r="1116" spans="4:11" s="739" customFormat="1" x14ac:dyDescent="0.2">
      <c r="D1116" s="740"/>
      <c r="F1116" s="741"/>
      <c r="G1116" s="741"/>
      <c r="H1116" s="741"/>
      <c r="I1116" s="741"/>
      <c r="J1116" s="741"/>
      <c r="K1116" s="742"/>
    </row>
    <row r="1117" spans="4:11" s="739" customFormat="1" x14ac:dyDescent="0.2">
      <c r="D1117" s="740"/>
      <c r="F1117" s="741"/>
      <c r="G1117" s="741"/>
      <c r="H1117" s="741"/>
      <c r="I1117" s="741"/>
      <c r="J1117" s="741"/>
      <c r="K1117" s="742"/>
    </row>
    <row r="1118" spans="4:11" s="739" customFormat="1" x14ac:dyDescent="0.2">
      <c r="D1118" s="740"/>
      <c r="F1118" s="741"/>
      <c r="G1118" s="741"/>
      <c r="H1118" s="741"/>
      <c r="I1118" s="741"/>
      <c r="J1118" s="741"/>
      <c r="K1118" s="742"/>
    </row>
    <row r="1119" spans="4:11" s="739" customFormat="1" x14ac:dyDescent="0.2">
      <c r="D1119" s="740"/>
      <c r="F1119" s="741"/>
      <c r="G1119" s="741"/>
      <c r="H1119" s="741"/>
      <c r="I1119" s="741"/>
      <c r="J1119" s="741"/>
      <c r="K1119" s="742"/>
    </row>
    <row r="1120" spans="4:11" s="739" customFormat="1" x14ac:dyDescent="0.2">
      <c r="D1120" s="740"/>
      <c r="F1120" s="741"/>
      <c r="G1120" s="741"/>
      <c r="H1120" s="741"/>
      <c r="I1120" s="741"/>
      <c r="J1120" s="741"/>
      <c r="K1120" s="742"/>
    </row>
    <row r="1121" spans="4:11" s="739" customFormat="1" x14ac:dyDescent="0.2">
      <c r="D1121" s="740"/>
      <c r="F1121" s="741"/>
      <c r="G1121" s="741"/>
      <c r="H1121" s="741"/>
      <c r="I1121" s="741"/>
      <c r="J1121" s="741"/>
      <c r="K1121" s="742"/>
    </row>
    <row r="1122" spans="4:11" s="739" customFormat="1" x14ac:dyDescent="0.2">
      <c r="D1122" s="740"/>
      <c r="F1122" s="741"/>
      <c r="G1122" s="741"/>
      <c r="H1122" s="741"/>
      <c r="I1122" s="741"/>
      <c r="J1122" s="741"/>
      <c r="K1122" s="742"/>
    </row>
    <row r="1123" spans="4:11" s="739" customFormat="1" x14ac:dyDescent="0.2">
      <c r="D1123" s="740"/>
      <c r="F1123" s="741"/>
      <c r="G1123" s="741"/>
      <c r="H1123" s="741"/>
      <c r="I1123" s="741"/>
      <c r="J1123" s="741"/>
      <c r="K1123" s="742"/>
    </row>
    <row r="1124" spans="4:11" s="739" customFormat="1" x14ac:dyDescent="0.2">
      <c r="D1124" s="740"/>
      <c r="F1124" s="741"/>
      <c r="G1124" s="741"/>
      <c r="H1124" s="741"/>
      <c r="I1124" s="741"/>
      <c r="J1124" s="741"/>
      <c r="K1124" s="742"/>
    </row>
    <row r="1125" spans="4:11" s="739" customFormat="1" x14ac:dyDescent="0.2">
      <c r="D1125" s="740"/>
      <c r="F1125" s="741"/>
      <c r="G1125" s="741"/>
      <c r="H1125" s="741"/>
      <c r="I1125" s="741"/>
      <c r="J1125" s="741"/>
      <c r="K1125" s="742"/>
    </row>
    <row r="1126" spans="4:11" s="739" customFormat="1" x14ac:dyDescent="0.2">
      <c r="D1126" s="740"/>
      <c r="F1126" s="741"/>
      <c r="G1126" s="741"/>
      <c r="H1126" s="741"/>
      <c r="I1126" s="741"/>
      <c r="J1126" s="741"/>
      <c r="K1126" s="742"/>
    </row>
    <row r="1127" spans="4:11" s="739" customFormat="1" x14ac:dyDescent="0.2">
      <c r="D1127" s="740"/>
      <c r="F1127" s="741"/>
      <c r="G1127" s="741"/>
      <c r="H1127" s="741"/>
      <c r="I1127" s="741"/>
      <c r="J1127" s="741"/>
      <c r="K1127" s="742"/>
    </row>
    <row r="1128" spans="4:11" s="739" customFormat="1" x14ac:dyDescent="0.2">
      <c r="D1128" s="740"/>
      <c r="F1128" s="741"/>
      <c r="G1128" s="741"/>
      <c r="H1128" s="741"/>
      <c r="I1128" s="741"/>
      <c r="J1128" s="741"/>
      <c r="K1128" s="742"/>
    </row>
    <row r="1129" spans="4:11" s="739" customFormat="1" x14ac:dyDescent="0.2">
      <c r="D1129" s="740"/>
      <c r="F1129" s="741"/>
      <c r="G1129" s="741"/>
      <c r="H1129" s="741"/>
      <c r="I1129" s="741"/>
      <c r="J1129" s="741"/>
      <c r="K1129" s="742"/>
    </row>
    <row r="1130" spans="4:11" s="739" customFormat="1" x14ac:dyDescent="0.2">
      <c r="D1130" s="740"/>
      <c r="F1130" s="741"/>
      <c r="G1130" s="741"/>
      <c r="H1130" s="741"/>
      <c r="I1130" s="741"/>
      <c r="J1130" s="741"/>
      <c r="K1130" s="742"/>
    </row>
    <row r="1131" spans="4:11" s="739" customFormat="1" x14ac:dyDescent="0.2">
      <c r="D1131" s="740"/>
      <c r="F1131" s="741"/>
      <c r="G1131" s="741"/>
      <c r="H1131" s="741"/>
      <c r="I1131" s="741"/>
      <c r="J1131" s="741"/>
      <c r="K1131" s="742"/>
    </row>
    <row r="1132" spans="4:11" s="739" customFormat="1" x14ac:dyDescent="0.2">
      <c r="D1132" s="740"/>
      <c r="F1132" s="741"/>
      <c r="G1132" s="741"/>
      <c r="H1132" s="741"/>
      <c r="I1132" s="741"/>
      <c r="J1132" s="741"/>
      <c r="K1132" s="742"/>
    </row>
    <row r="1133" spans="4:11" s="739" customFormat="1" x14ac:dyDescent="0.2">
      <c r="D1133" s="740"/>
      <c r="F1133" s="741"/>
      <c r="G1133" s="741"/>
      <c r="H1133" s="741"/>
      <c r="I1133" s="741"/>
      <c r="J1133" s="741"/>
      <c r="K1133" s="742"/>
    </row>
    <row r="1134" spans="4:11" s="739" customFormat="1" x14ac:dyDescent="0.2">
      <c r="D1134" s="740"/>
      <c r="F1134" s="741"/>
      <c r="G1134" s="741"/>
      <c r="H1134" s="741"/>
      <c r="I1134" s="741"/>
      <c r="J1134" s="741"/>
      <c r="K1134" s="742"/>
    </row>
    <row r="1135" spans="4:11" s="739" customFormat="1" x14ac:dyDescent="0.2">
      <c r="D1135" s="740"/>
      <c r="F1135" s="741"/>
      <c r="G1135" s="741"/>
      <c r="H1135" s="741"/>
      <c r="I1135" s="741"/>
      <c r="J1135" s="741"/>
      <c r="K1135" s="742"/>
    </row>
    <row r="1136" spans="4:11" s="739" customFormat="1" x14ac:dyDescent="0.2">
      <c r="D1136" s="740"/>
      <c r="F1136" s="741"/>
      <c r="G1136" s="741"/>
      <c r="H1136" s="741"/>
      <c r="I1136" s="741"/>
      <c r="J1136" s="741"/>
      <c r="K1136" s="742"/>
    </row>
    <row r="1137" spans="4:11" s="739" customFormat="1" x14ac:dyDescent="0.2">
      <c r="D1137" s="740"/>
      <c r="F1137" s="741"/>
      <c r="G1137" s="741"/>
      <c r="H1137" s="741"/>
      <c r="I1137" s="741"/>
      <c r="J1137" s="741"/>
      <c r="K1137" s="742"/>
    </row>
    <row r="1138" spans="4:11" s="739" customFormat="1" x14ac:dyDescent="0.2">
      <c r="D1138" s="740"/>
      <c r="F1138" s="741"/>
      <c r="G1138" s="741"/>
      <c r="H1138" s="741"/>
      <c r="I1138" s="741"/>
      <c r="J1138" s="741"/>
      <c r="K1138" s="742"/>
    </row>
    <row r="1139" spans="4:11" s="739" customFormat="1" x14ac:dyDescent="0.2">
      <c r="D1139" s="740"/>
      <c r="F1139" s="741"/>
      <c r="G1139" s="741"/>
      <c r="H1139" s="741"/>
      <c r="I1139" s="741"/>
      <c r="J1139" s="741"/>
      <c r="K1139" s="742"/>
    </row>
    <row r="1140" spans="4:11" s="739" customFormat="1" x14ac:dyDescent="0.2">
      <c r="D1140" s="740"/>
      <c r="F1140" s="741"/>
      <c r="G1140" s="741"/>
      <c r="H1140" s="741"/>
      <c r="I1140" s="741"/>
      <c r="J1140" s="741"/>
      <c r="K1140" s="742"/>
    </row>
    <row r="1141" spans="4:11" s="739" customFormat="1" x14ac:dyDescent="0.2">
      <c r="D1141" s="740"/>
      <c r="F1141" s="741"/>
      <c r="G1141" s="741"/>
      <c r="H1141" s="741"/>
      <c r="I1141" s="741"/>
      <c r="J1141" s="741"/>
      <c r="K1141" s="742"/>
    </row>
    <row r="1142" spans="4:11" s="739" customFormat="1" x14ac:dyDescent="0.2">
      <c r="D1142" s="740"/>
      <c r="F1142" s="741"/>
      <c r="G1142" s="741"/>
      <c r="H1142" s="741"/>
      <c r="I1142" s="741"/>
      <c r="J1142" s="741"/>
      <c r="K1142" s="742"/>
    </row>
    <row r="1143" spans="4:11" s="739" customFormat="1" x14ac:dyDescent="0.2">
      <c r="D1143" s="740"/>
      <c r="F1143" s="741"/>
      <c r="G1143" s="741"/>
      <c r="H1143" s="741"/>
      <c r="I1143" s="741"/>
      <c r="J1143" s="741"/>
      <c r="K1143" s="742"/>
    </row>
    <row r="1144" spans="4:11" s="739" customFormat="1" x14ac:dyDescent="0.2">
      <c r="D1144" s="740"/>
      <c r="F1144" s="741"/>
      <c r="G1144" s="741"/>
      <c r="H1144" s="741"/>
      <c r="I1144" s="741"/>
      <c r="J1144" s="741"/>
      <c r="K1144" s="742"/>
    </row>
    <row r="1145" spans="4:11" s="739" customFormat="1" x14ac:dyDescent="0.2">
      <c r="D1145" s="740"/>
      <c r="F1145" s="741"/>
      <c r="G1145" s="741"/>
      <c r="H1145" s="741"/>
      <c r="I1145" s="741"/>
      <c r="J1145" s="741"/>
      <c r="K1145" s="742"/>
    </row>
    <row r="1146" spans="4:11" s="739" customFormat="1" x14ac:dyDescent="0.2">
      <c r="D1146" s="740"/>
      <c r="F1146" s="741"/>
      <c r="G1146" s="741"/>
      <c r="H1146" s="741"/>
      <c r="I1146" s="741"/>
      <c r="J1146" s="741"/>
      <c r="K1146" s="742"/>
    </row>
    <row r="1147" spans="4:11" s="739" customFormat="1" x14ac:dyDescent="0.2">
      <c r="D1147" s="740"/>
      <c r="F1147" s="741"/>
      <c r="G1147" s="741"/>
      <c r="H1147" s="741"/>
      <c r="I1147" s="741"/>
      <c r="J1147" s="741"/>
      <c r="K1147" s="742"/>
    </row>
    <row r="1148" spans="4:11" s="739" customFormat="1" x14ac:dyDescent="0.2">
      <c r="D1148" s="740"/>
      <c r="F1148" s="741"/>
      <c r="G1148" s="741"/>
      <c r="H1148" s="741"/>
      <c r="I1148" s="741"/>
      <c r="J1148" s="741"/>
      <c r="K1148" s="742"/>
    </row>
    <row r="1149" spans="4:11" s="739" customFormat="1" x14ac:dyDescent="0.2">
      <c r="D1149" s="740"/>
      <c r="F1149" s="741"/>
      <c r="G1149" s="741"/>
      <c r="H1149" s="741"/>
      <c r="I1149" s="741"/>
      <c r="J1149" s="741"/>
      <c r="K1149" s="742"/>
    </row>
    <row r="1150" spans="4:11" s="739" customFormat="1" x14ac:dyDescent="0.2">
      <c r="D1150" s="740"/>
      <c r="F1150" s="741"/>
      <c r="G1150" s="741"/>
      <c r="H1150" s="741"/>
      <c r="I1150" s="741"/>
      <c r="J1150" s="741"/>
      <c r="K1150" s="742"/>
    </row>
    <row r="1151" spans="4:11" s="739" customFormat="1" x14ac:dyDescent="0.2">
      <c r="D1151" s="740"/>
      <c r="F1151" s="741"/>
      <c r="G1151" s="741"/>
      <c r="H1151" s="741"/>
      <c r="I1151" s="741"/>
      <c r="J1151" s="741"/>
      <c r="K1151" s="742"/>
    </row>
    <row r="1152" spans="4:11" s="739" customFormat="1" x14ac:dyDescent="0.2">
      <c r="D1152" s="740"/>
      <c r="F1152" s="741"/>
      <c r="G1152" s="741"/>
      <c r="H1152" s="741"/>
      <c r="I1152" s="741"/>
      <c r="J1152" s="741"/>
      <c r="K1152" s="742"/>
    </row>
    <row r="1153" spans="4:11" s="739" customFormat="1" x14ac:dyDescent="0.2">
      <c r="D1153" s="740"/>
      <c r="F1153" s="741"/>
      <c r="G1153" s="741"/>
      <c r="H1153" s="741"/>
      <c r="I1153" s="741"/>
      <c r="J1153" s="741"/>
      <c r="K1153" s="742"/>
    </row>
    <row r="1154" spans="4:11" s="739" customFormat="1" x14ac:dyDescent="0.2">
      <c r="D1154" s="740"/>
      <c r="F1154" s="741"/>
      <c r="G1154" s="741"/>
      <c r="H1154" s="741"/>
      <c r="I1154" s="741"/>
      <c r="J1154" s="741"/>
      <c r="K1154" s="742"/>
    </row>
    <row r="1155" spans="4:11" s="739" customFormat="1" x14ac:dyDescent="0.2">
      <c r="D1155" s="740"/>
      <c r="F1155" s="741"/>
      <c r="G1155" s="741"/>
      <c r="H1155" s="741"/>
      <c r="I1155" s="741"/>
      <c r="J1155" s="741"/>
      <c r="K1155" s="742"/>
    </row>
    <row r="1156" spans="4:11" s="739" customFormat="1" x14ac:dyDescent="0.2">
      <c r="D1156" s="740"/>
      <c r="F1156" s="741"/>
      <c r="G1156" s="741"/>
      <c r="H1156" s="741"/>
      <c r="I1156" s="741"/>
      <c r="J1156" s="741"/>
      <c r="K1156" s="742"/>
    </row>
    <row r="1157" spans="4:11" s="739" customFormat="1" x14ac:dyDescent="0.2">
      <c r="D1157" s="740"/>
      <c r="F1157" s="741"/>
      <c r="G1157" s="741"/>
      <c r="H1157" s="741"/>
      <c r="I1157" s="741"/>
      <c r="J1157" s="741"/>
      <c r="K1157" s="742"/>
    </row>
    <row r="1158" spans="4:11" s="739" customFormat="1" x14ac:dyDescent="0.2">
      <c r="D1158" s="740"/>
      <c r="F1158" s="741"/>
      <c r="G1158" s="741"/>
      <c r="H1158" s="741"/>
      <c r="I1158" s="741"/>
      <c r="J1158" s="741"/>
      <c r="K1158" s="742"/>
    </row>
    <row r="1159" spans="4:11" s="739" customFormat="1" x14ac:dyDescent="0.2">
      <c r="D1159" s="740"/>
      <c r="F1159" s="741"/>
      <c r="G1159" s="741"/>
      <c r="H1159" s="741"/>
      <c r="I1159" s="741"/>
      <c r="J1159" s="741"/>
      <c r="K1159" s="742"/>
    </row>
    <row r="1160" spans="4:11" s="739" customFormat="1" x14ac:dyDescent="0.2">
      <c r="D1160" s="740"/>
      <c r="F1160" s="741"/>
      <c r="G1160" s="741"/>
      <c r="H1160" s="741"/>
      <c r="I1160" s="741"/>
      <c r="J1160" s="741"/>
      <c r="K1160" s="742"/>
    </row>
    <row r="1161" spans="4:11" s="739" customFormat="1" x14ac:dyDescent="0.2">
      <c r="D1161" s="740"/>
      <c r="F1161" s="741"/>
      <c r="G1161" s="741"/>
      <c r="H1161" s="741"/>
      <c r="I1161" s="741"/>
      <c r="J1161" s="741"/>
      <c r="K1161" s="742"/>
    </row>
    <row r="1162" spans="4:11" s="739" customFormat="1" x14ac:dyDescent="0.2">
      <c r="D1162" s="740"/>
      <c r="F1162" s="741"/>
      <c r="G1162" s="741"/>
      <c r="H1162" s="741"/>
      <c r="I1162" s="741"/>
      <c r="J1162" s="741"/>
      <c r="K1162" s="742"/>
    </row>
    <row r="1163" spans="4:11" s="739" customFormat="1" x14ac:dyDescent="0.2">
      <c r="D1163" s="740"/>
      <c r="F1163" s="741"/>
      <c r="G1163" s="741"/>
      <c r="H1163" s="741"/>
      <c r="I1163" s="741"/>
      <c r="J1163" s="741"/>
      <c r="K1163" s="742"/>
    </row>
    <row r="1164" spans="4:11" s="739" customFormat="1" x14ac:dyDescent="0.2">
      <c r="D1164" s="740"/>
      <c r="F1164" s="741"/>
      <c r="G1164" s="741"/>
      <c r="H1164" s="741"/>
      <c r="I1164" s="741"/>
      <c r="J1164" s="741"/>
      <c r="K1164" s="742"/>
    </row>
    <row r="1165" spans="4:11" s="739" customFormat="1" x14ac:dyDescent="0.2">
      <c r="D1165" s="740"/>
      <c r="F1165" s="741"/>
      <c r="G1165" s="741"/>
      <c r="H1165" s="741"/>
      <c r="I1165" s="741"/>
      <c r="J1165" s="741"/>
      <c r="K1165" s="742"/>
    </row>
    <row r="1166" spans="4:11" s="739" customFormat="1" x14ac:dyDescent="0.2">
      <c r="D1166" s="740"/>
      <c r="F1166" s="741"/>
      <c r="G1166" s="741"/>
      <c r="H1166" s="741"/>
      <c r="I1166" s="741"/>
      <c r="J1166" s="741"/>
      <c r="K1166" s="742"/>
    </row>
    <row r="1167" spans="4:11" s="739" customFormat="1" x14ac:dyDescent="0.2">
      <c r="D1167" s="740"/>
      <c r="F1167" s="741"/>
      <c r="G1167" s="741"/>
      <c r="H1167" s="741"/>
      <c r="I1167" s="741"/>
      <c r="J1167" s="741"/>
      <c r="K1167" s="742"/>
    </row>
    <row r="1168" spans="4:11" s="739" customFormat="1" x14ac:dyDescent="0.2">
      <c r="D1168" s="740"/>
      <c r="F1168" s="741"/>
      <c r="G1168" s="741"/>
      <c r="H1168" s="741"/>
      <c r="I1168" s="741"/>
      <c r="J1168" s="741"/>
      <c r="K1168" s="742"/>
    </row>
    <row r="1169" spans="4:11" s="739" customFormat="1" x14ac:dyDescent="0.2">
      <c r="D1169" s="740"/>
      <c r="F1169" s="741"/>
      <c r="G1169" s="741"/>
      <c r="H1169" s="741"/>
      <c r="I1169" s="741"/>
      <c r="J1169" s="741"/>
      <c r="K1169" s="742"/>
    </row>
    <row r="1170" spans="4:11" s="739" customFormat="1" x14ac:dyDescent="0.2">
      <c r="D1170" s="740"/>
      <c r="F1170" s="741"/>
      <c r="G1170" s="741"/>
      <c r="H1170" s="741"/>
      <c r="I1170" s="741"/>
      <c r="J1170" s="741"/>
      <c r="K1170" s="742"/>
    </row>
    <row r="1171" spans="4:11" s="739" customFormat="1" x14ac:dyDescent="0.2">
      <c r="D1171" s="740"/>
      <c r="F1171" s="741"/>
      <c r="G1171" s="741"/>
      <c r="H1171" s="741"/>
      <c r="I1171" s="741"/>
      <c r="J1171" s="741"/>
      <c r="K1171" s="742"/>
    </row>
    <row r="1172" spans="4:11" s="739" customFormat="1" x14ac:dyDescent="0.2">
      <c r="D1172" s="740"/>
      <c r="F1172" s="741"/>
      <c r="G1172" s="741"/>
      <c r="H1172" s="741"/>
      <c r="I1172" s="741"/>
      <c r="J1172" s="741"/>
      <c r="K1172" s="742"/>
    </row>
    <row r="1173" spans="4:11" s="739" customFormat="1" x14ac:dyDescent="0.2">
      <c r="D1173" s="740"/>
      <c r="F1173" s="741"/>
      <c r="G1173" s="741"/>
      <c r="H1173" s="741"/>
      <c r="I1173" s="741"/>
      <c r="J1173" s="741"/>
      <c r="K1173" s="742"/>
    </row>
    <row r="1174" spans="4:11" s="739" customFormat="1" x14ac:dyDescent="0.2">
      <c r="D1174" s="740"/>
      <c r="F1174" s="741"/>
      <c r="G1174" s="741"/>
      <c r="H1174" s="741"/>
      <c r="I1174" s="741"/>
      <c r="J1174" s="741"/>
      <c r="K1174" s="742"/>
    </row>
    <row r="1175" spans="4:11" s="739" customFormat="1" x14ac:dyDescent="0.2">
      <c r="D1175" s="740"/>
      <c r="F1175" s="741"/>
      <c r="G1175" s="741"/>
      <c r="H1175" s="741"/>
      <c r="I1175" s="741"/>
      <c r="J1175" s="741"/>
      <c r="K1175" s="742"/>
    </row>
    <row r="1176" spans="4:11" s="739" customFormat="1" x14ac:dyDescent="0.2">
      <c r="D1176" s="740"/>
      <c r="F1176" s="741"/>
      <c r="G1176" s="741"/>
      <c r="H1176" s="741"/>
      <c r="I1176" s="741"/>
      <c r="J1176" s="741"/>
      <c r="K1176" s="742"/>
    </row>
    <row r="1177" spans="4:11" s="739" customFormat="1" x14ac:dyDescent="0.2">
      <c r="D1177" s="740"/>
      <c r="F1177" s="741"/>
      <c r="G1177" s="741"/>
      <c r="H1177" s="741"/>
      <c r="I1177" s="741"/>
      <c r="J1177" s="741"/>
      <c r="K1177" s="742"/>
    </row>
    <row r="1178" spans="4:11" s="739" customFormat="1" x14ac:dyDescent="0.2">
      <c r="D1178" s="740"/>
      <c r="F1178" s="741"/>
      <c r="G1178" s="741"/>
      <c r="H1178" s="741"/>
      <c r="I1178" s="741"/>
      <c r="J1178" s="741"/>
      <c r="K1178" s="742"/>
    </row>
    <row r="1179" spans="4:11" s="739" customFormat="1" x14ac:dyDescent="0.2">
      <c r="D1179" s="740"/>
      <c r="F1179" s="741"/>
      <c r="G1179" s="741"/>
      <c r="H1179" s="741"/>
      <c r="I1179" s="741"/>
      <c r="J1179" s="741"/>
      <c r="K1179" s="742"/>
    </row>
    <row r="1180" spans="4:11" s="739" customFormat="1" x14ac:dyDescent="0.2">
      <c r="D1180" s="740"/>
      <c r="F1180" s="741"/>
      <c r="G1180" s="741"/>
      <c r="H1180" s="741"/>
      <c r="I1180" s="741"/>
      <c r="J1180" s="741"/>
      <c r="K1180" s="742"/>
    </row>
    <row r="1181" spans="4:11" s="739" customFormat="1" x14ac:dyDescent="0.2">
      <c r="D1181" s="740"/>
      <c r="F1181" s="741"/>
      <c r="G1181" s="741"/>
      <c r="H1181" s="741"/>
      <c r="I1181" s="741"/>
      <c r="J1181" s="741"/>
      <c r="K1181" s="742"/>
    </row>
    <row r="1182" spans="4:11" s="739" customFormat="1" x14ac:dyDescent="0.2">
      <c r="D1182" s="740"/>
      <c r="F1182" s="741"/>
      <c r="G1182" s="741"/>
      <c r="H1182" s="741"/>
      <c r="I1182" s="741"/>
      <c r="J1182" s="741"/>
      <c r="K1182" s="742"/>
    </row>
    <row r="1183" spans="4:11" s="739" customFormat="1" x14ac:dyDescent="0.2">
      <c r="D1183" s="740"/>
      <c r="F1183" s="741"/>
      <c r="G1183" s="741"/>
      <c r="H1183" s="741"/>
      <c r="I1183" s="741"/>
      <c r="J1183" s="741"/>
      <c r="K1183" s="742"/>
    </row>
    <row r="1184" spans="4:11" s="739" customFormat="1" x14ac:dyDescent="0.2">
      <c r="D1184" s="740"/>
      <c r="F1184" s="741"/>
      <c r="G1184" s="741"/>
      <c r="H1184" s="741"/>
      <c r="I1184" s="741"/>
      <c r="J1184" s="741"/>
      <c r="K1184" s="742"/>
    </row>
    <row r="1185" spans="4:11" s="739" customFormat="1" x14ac:dyDescent="0.2">
      <c r="D1185" s="740"/>
      <c r="F1185" s="741"/>
      <c r="G1185" s="741"/>
      <c r="H1185" s="741"/>
      <c r="I1185" s="741"/>
      <c r="J1185" s="741"/>
      <c r="K1185" s="742"/>
    </row>
    <row r="1186" spans="4:11" s="739" customFormat="1" x14ac:dyDescent="0.2">
      <c r="D1186" s="740"/>
      <c r="F1186" s="741"/>
      <c r="G1186" s="741"/>
      <c r="H1186" s="741"/>
      <c r="I1186" s="741"/>
      <c r="J1186" s="741"/>
      <c r="K1186" s="742"/>
    </row>
    <row r="1187" spans="4:11" s="739" customFormat="1" x14ac:dyDescent="0.2">
      <c r="D1187" s="740"/>
      <c r="F1187" s="741"/>
      <c r="G1187" s="741"/>
      <c r="H1187" s="741"/>
      <c r="I1187" s="741"/>
      <c r="J1187" s="741"/>
      <c r="K1187" s="742"/>
    </row>
    <row r="1188" spans="4:11" s="739" customFormat="1" x14ac:dyDescent="0.2">
      <c r="D1188" s="740"/>
      <c r="F1188" s="741"/>
      <c r="G1188" s="741"/>
      <c r="H1188" s="741"/>
      <c r="I1188" s="741"/>
      <c r="J1188" s="741"/>
      <c r="K1188" s="742"/>
    </row>
    <row r="1189" spans="4:11" s="739" customFormat="1" x14ac:dyDescent="0.2">
      <c r="D1189" s="740"/>
      <c r="F1189" s="741"/>
      <c r="G1189" s="741"/>
      <c r="H1189" s="741"/>
      <c r="I1189" s="741"/>
      <c r="J1189" s="741"/>
      <c r="K1189" s="742"/>
    </row>
    <row r="1190" spans="4:11" s="739" customFormat="1" x14ac:dyDescent="0.2">
      <c r="D1190" s="740"/>
      <c r="F1190" s="741"/>
      <c r="G1190" s="741"/>
      <c r="H1190" s="741"/>
      <c r="I1190" s="741"/>
      <c r="J1190" s="741"/>
      <c r="K1190" s="742"/>
    </row>
    <row r="1191" spans="4:11" s="739" customFormat="1" x14ac:dyDescent="0.2">
      <c r="D1191" s="740"/>
      <c r="F1191" s="741"/>
      <c r="G1191" s="741"/>
      <c r="H1191" s="741"/>
      <c r="I1191" s="741"/>
      <c r="J1191" s="741"/>
      <c r="K1191" s="742"/>
    </row>
    <row r="1192" spans="4:11" s="739" customFormat="1" x14ac:dyDescent="0.2">
      <c r="D1192" s="740"/>
      <c r="F1192" s="741"/>
      <c r="G1192" s="741"/>
      <c r="H1192" s="741"/>
      <c r="I1192" s="741"/>
      <c r="J1192" s="741"/>
      <c r="K1192" s="742"/>
    </row>
    <row r="1193" spans="4:11" s="739" customFormat="1" x14ac:dyDescent="0.2">
      <c r="D1193" s="740"/>
      <c r="F1193" s="741"/>
      <c r="G1193" s="741"/>
      <c r="H1193" s="741"/>
      <c r="I1193" s="741"/>
      <c r="J1193" s="741"/>
      <c r="K1193" s="742"/>
    </row>
    <row r="1194" spans="4:11" s="739" customFormat="1" x14ac:dyDescent="0.2">
      <c r="D1194" s="740"/>
      <c r="F1194" s="741"/>
      <c r="G1194" s="741"/>
      <c r="H1194" s="741"/>
      <c r="I1194" s="741"/>
      <c r="J1194" s="741"/>
      <c r="K1194" s="742"/>
    </row>
    <row r="1195" spans="4:11" s="739" customFormat="1" x14ac:dyDescent="0.2">
      <c r="D1195" s="740"/>
      <c r="F1195" s="741"/>
      <c r="G1195" s="741"/>
      <c r="H1195" s="741"/>
      <c r="I1195" s="741"/>
      <c r="J1195" s="741"/>
      <c r="K1195" s="742"/>
    </row>
    <row r="1196" spans="4:11" s="739" customFormat="1" x14ac:dyDescent="0.2">
      <c r="D1196" s="740"/>
      <c r="F1196" s="741"/>
      <c r="G1196" s="741"/>
      <c r="H1196" s="741"/>
      <c r="I1196" s="741"/>
      <c r="J1196" s="741"/>
      <c r="K1196" s="742"/>
    </row>
    <row r="1197" spans="4:11" s="739" customFormat="1" x14ac:dyDescent="0.2">
      <c r="D1197" s="740"/>
      <c r="F1197" s="741"/>
      <c r="G1197" s="741"/>
      <c r="H1197" s="741"/>
      <c r="I1197" s="741"/>
      <c r="J1197" s="741"/>
      <c r="K1197" s="742"/>
    </row>
    <row r="1198" spans="4:11" s="739" customFormat="1" x14ac:dyDescent="0.2">
      <c r="D1198" s="740"/>
      <c r="F1198" s="741"/>
      <c r="G1198" s="741"/>
      <c r="H1198" s="741"/>
      <c r="I1198" s="741"/>
      <c r="J1198" s="741"/>
      <c r="K1198" s="742"/>
    </row>
    <row r="1199" spans="4:11" s="739" customFormat="1" x14ac:dyDescent="0.2">
      <c r="D1199" s="740"/>
      <c r="F1199" s="741"/>
      <c r="G1199" s="741"/>
      <c r="H1199" s="741"/>
      <c r="I1199" s="741"/>
      <c r="J1199" s="741"/>
      <c r="K1199" s="742"/>
    </row>
    <row r="1200" spans="4:11" s="739" customFormat="1" x14ac:dyDescent="0.2">
      <c r="D1200" s="740"/>
      <c r="F1200" s="741"/>
      <c r="G1200" s="741"/>
      <c r="H1200" s="741"/>
      <c r="I1200" s="741"/>
      <c r="J1200" s="741"/>
      <c r="K1200" s="742"/>
    </row>
    <row r="1201" spans="4:11" s="739" customFormat="1" x14ac:dyDescent="0.2">
      <c r="D1201" s="740"/>
      <c r="F1201" s="741"/>
      <c r="G1201" s="741"/>
      <c r="H1201" s="741"/>
      <c r="I1201" s="741"/>
      <c r="J1201" s="741"/>
      <c r="K1201" s="742"/>
    </row>
    <row r="1202" spans="4:11" s="739" customFormat="1" x14ac:dyDescent="0.2">
      <c r="D1202" s="740"/>
      <c r="F1202" s="741"/>
      <c r="G1202" s="741"/>
      <c r="H1202" s="741"/>
      <c r="I1202" s="741"/>
      <c r="J1202" s="741"/>
      <c r="K1202" s="742"/>
    </row>
    <row r="1203" spans="4:11" s="739" customFormat="1" x14ac:dyDescent="0.2">
      <c r="D1203" s="740"/>
      <c r="F1203" s="741"/>
      <c r="G1203" s="741"/>
      <c r="H1203" s="741"/>
      <c r="I1203" s="741"/>
      <c r="J1203" s="741"/>
      <c r="K1203" s="742"/>
    </row>
    <row r="1204" spans="4:11" s="739" customFormat="1" x14ac:dyDescent="0.2">
      <c r="D1204" s="740"/>
      <c r="F1204" s="741"/>
      <c r="G1204" s="741"/>
      <c r="H1204" s="741"/>
      <c r="I1204" s="741"/>
      <c r="J1204" s="741"/>
      <c r="K1204" s="742"/>
    </row>
    <row r="1205" spans="4:11" s="739" customFormat="1" x14ac:dyDescent="0.2">
      <c r="D1205" s="740"/>
      <c r="F1205" s="741"/>
      <c r="G1205" s="741"/>
      <c r="H1205" s="741"/>
      <c r="I1205" s="741"/>
      <c r="J1205" s="741"/>
      <c r="K1205" s="742"/>
    </row>
    <row r="1206" spans="4:11" s="739" customFormat="1" x14ac:dyDescent="0.2">
      <c r="D1206" s="740"/>
      <c r="F1206" s="741"/>
      <c r="G1206" s="741"/>
      <c r="H1206" s="741"/>
      <c r="I1206" s="741"/>
      <c r="J1206" s="741"/>
      <c r="K1206" s="742"/>
    </row>
    <row r="1207" spans="4:11" s="739" customFormat="1" x14ac:dyDescent="0.2">
      <c r="D1207" s="740"/>
      <c r="F1207" s="741"/>
      <c r="G1207" s="741"/>
      <c r="H1207" s="741"/>
      <c r="I1207" s="741"/>
      <c r="J1207" s="741"/>
      <c r="K1207" s="742"/>
    </row>
    <row r="1208" spans="4:11" s="739" customFormat="1" x14ac:dyDescent="0.2">
      <c r="D1208" s="740"/>
      <c r="F1208" s="741"/>
      <c r="G1208" s="741"/>
      <c r="H1208" s="741"/>
      <c r="I1208" s="741"/>
      <c r="J1208" s="741"/>
      <c r="K1208" s="742"/>
    </row>
    <row r="1209" spans="4:11" s="739" customFormat="1" x14ac:dyDescent="0.2">
      <c r="D1209" s="740"/>
      <c r="F1209" s="741"/>
      <c r="G1209" s="741"/>
      <c r="H1209" s="741"/>
      <c r="I1209" s="741"/>
      <c r="J1209" s="741"/>
      <c r="K1209" s="742"/>
    </row>
    <row r="1210" spans="4:11" s="739" customFormat="1" x14ac:dyDescent="0.2">
      <c r="D1210" s="740"/>
      <c r="F1210" s="741"/>
      <c r="G1210" s="741"/>
      <c r="H1210" s="741"/>
      <c r="I1210" s="741"/>
      <c r="J1210" s="741"/>
      <c r="K1210" s="742"/>
    </row>
    <row r="1211" spans="4:11" s="739" customFormat="1" x14ac:dyDescent="0.2">
      <c r="D1211" s="740"/>
      <c r="F1211" s="741"/>
      <c r="G1211" s="741"/>
      <c r="H1211" s="741"/>
      <c r="I1211" s="741"/>
      <c r="J1211" s="741"/>
      <c r="K1211" s="742"/>
    </row>
    <row r="1212" spans="4:11" s="739" customFormat="1" x14ac:dyDescent="0.2">
      <c r="D1212" s="740"/>
      <c r="F1212" s="741"/>
      <c r="G1212" s="741"/>
      <c r="H1212" s="741"/>
      <c r="I1212" s="741"/>
      <c r="J1212" s="741"/>
      <c r="K1212" s="742"/>
    </row>
    <row r="1213" spans="4:11" s="739" customFormat="1" x14ac:dyDescent="0.2">
      <c r="D1213" s="740"/>
      <c r="F1213" s="741"/>
      <c r="G1213" s="741"/>
      <c r="H1213" s="741"/>
      <c r="I1213" s="741"/>
      <c r="J1213" s="741"/>
      <c r="K1213" s="742"/>
    </row>
    <row r="1214" spans="4:11" s="739" customFormat="1" x14ac:dyDescent="0.2">
      <c r="D1214" s="740"/>
      <c r="F1214" s="741"/>
      <c r="G1214" s="741"/>
      <c r="H1214" s="741"/>
      <c r="I1214" s="741"/>
      <c r="J1214" s="741"/>
      <c r="K1214" s="742"/>
    </row>
    <row r="1215" spans="4:11" s="739" customFormat="1" x14ac:dyDescent="0.2">
      <c r="D1215" s="740"/>
      <c r="F1215" s="741"/>
      <c r="G1215" s="741"/>
      <c r="H1215" s="741"/>
      <c r="I1215" s="741"/>
      <c r="J1215" s="741"/>
      <c r="K1215" s="742"/>
    </row>
    <row r="1216" spans="4:11" s="739" customFormat="1" x14ac:dyDescent="0.2">
      <c r="D1216" s="740"/>
      <c r="F1216" s="741"/>
      <c r="G1216" s="741"/>
      <c r="H1216" s="741"/>
      <c r="I1216" s="741"/>
      <c r="J1216" s="741"/>
      <c r="K1216" s="742"/>
    </row>
    <row r="1217" spans="4:11" s="739" customFormat="1" x14ac:dyDescent="0.2">
      <c r="D1217" s="740"/>
      <c r="F1217" s="741"/>
      <c r="G1217" s="741"/>
      <c r="H1217" s="741"/>
      <c r="I1217" s="741"/>
      <c r="J1217" s="741"/>
      <c r="K1217" s="742"/>
    </row>
    <row r="1218" spans="4:11" s="739" customFormat="1" x14ac:dyDescent="0.2">
      <c r="D1218" s="740"/>
      <c r="F1218" s="741"/>
      <c r="G1218" s="741"/>
      <c r="H1218" s="741"/>
      <c r="I1218" s="741"/>
      <c r="J1218" s="741"/>
      <c r="K1218" s="742"/>
    </row>
    <row r="1219" spans="4:11" s="739" customFormat="1" x14ac:dyDescent="0.2">
      <c r="D1219" s="740"/>
      <c r="F1219" s="741"/>
      <c r="G1219" s="741"/>
      <c r="H1219" s="741"/>
      <c r="I1219" s="741"/>
      <c r="J1219" s="741"/>
      <c r="K1219" s="742"/>
    </row>
    <row r="1220" spans="4:11" s="739" customFormat="1" x14ac:dyDescent="0.2">
      <c r="D1220" s="740"/>
      <c r="F1220" s="741"/>
      <c r="G1220" s="741"/>
      <c r="H1220" s="741"/>
      <c r="I1220" s="741"/>
      <c r="J1220" s="741"/>
      <c r="K1220" s="742"/>
    </row>
    <row r="1221" spans="4:11" s="739" customFormat="1" x14ac:dyDescent="0.2">
      <c r="D1221" s="740"/>
      <c r="F1221" s="741"/>
      <c r="G1221" s="741"/>
      <c r="H1221" s="741"/>
      <c r="I1221" s="741"/>
      <c r="J1221" s="741"/>
      <c r="K1221" s="742"/>
    </row>
    <row r="1222" spans="4:11" s="739" customFormat="1" x14ac:dyDescent="0.2">
      <c r="D1222" s="740"/>
      <c r="F1222" s="741"/>
      <c r="G1222" s="741"/>
      <c r="H1222" s="741"/>
      <c r="I1222" s="741"/>
      <c r="J1222" s="741"/>
      <c r="K1222" s="742"/>
    </row>
    <row r="1223" spans="4:11" s="739" customFormat="1" x14ac:dyDescent="0.2">
      <c r="D1223" s="740"/>
      <c r="F1223" s="741"/>
      <c r="G1223" s="741"/>
      <c r="H1223" s="741"/>
      <c r="I1223" s="741"/>
      <c r="J1223" s="741"/>
      <c r="K1223" s="742"/>
    </row>
    <row r="1224" spans="4:11" s="739" customFormat="1" x14ac:dyDescent="0.2">
      <c r="D1224" s="740"/>
      <c r="F1224" s="741"/>
      <c r="G1224" s="741"/>
      <c r="H1224" s="741"/>
      <c r="I1224" s="741"/>
      <c r="J1224" s="741"/>
      <c r="K1224" s="742"/>
    </row>
    <row r="1225" spans="4:11" s="739" customFormat="1" x14ac:dyDescent="0.2">
      <c r="D1225" s="740"/>
      <c r="F1225" s="741"/>
      <c r="G1225" s="741"/>
      <c r="H1225" s="741"/>
      <c r="I1225" s="741"/>
      <c r="J1225" s="741"/>
      <c r="K1225" s="742"/>
    </row>
    <row r="1226" spans="4:11" s="739" customFormat="1" x14ac:dyDescent="0.2">
      <c r="D1226" s="740"/>
      <c r="F1226" s="741"/>
      <c r="G1226" s="741"/>
      <c r="H1226" s="741"/>
      <c r="I1226" s="741"/>
      <c r="J1226" s="741"/>
      <c r="K1226" s="742"/>
    </row>
    <row r="1227" spans="4:11" s="739" customFormat="1" x14ac:dyDescent="0.2">
      <c r="D1227" s="740"/>
      <c r="F1227" s="741"/>
      <c r="G1227" s="741"/>
      <c r="H1227" s="741"/>
      <c r="I1227" s="741"/>
      <c r="J1227" s="741"/>
      <c r="K1227" s="742"/>
    </row>
    <row r="1228" spans="4:11" s="739" customFormat="1" x14ac:dyDescent="0.2">
      <c r="D1228" s="740"/>
      <c r="F1228" s="741"/>
      <c r="G1228" s="741"/>
      <c r="H1228" s="741"/>
      <c r="I1228" s="741"/>
      <c r="J1228" s="741"/>
      <c r="K1228" s="742"/>
    </row>
    <row r="1229" spans="4:11" s="739" customFormat="1" x14ac:dyDescent="0.2">
      <c r="D1229" s="740"/>
      <c r="F1229" s="741"/>
      <c r="G1229" s="741"/>
      <c r="H1229" s="741"/>
      <c r="I1229" s="741"/>
      <c r="J1229" s="741"/>
      <c r="K1229" s="742"/>
    </row>
    <row r="1230" spans="4:11" s="739" customFormat="1" x14ac:dyDescent="0.2">
      <c r="D1230" s="740"/>
      <c r="F1230" s="741"/>
      <c r="G1230" s="741"/>
      <c r="H1230" s="741"/>
      <c r="I1230" s="741"/>
      <c r="J1230" s="741"/>
      <c r="K1230" s="742"/>
    </row>
    <row r="1231" spans="4:11" s="739" customFormat="1" x14ac:dyDescent="0.2">
      <c r="D1231" s="740"/>
      <c r="F1231" s="741"/>
      <c r="G1231" s="741"/>
      <c r="H1231" s="741"/>
      <c r="I1231" s="741"/>
      <c r="J1231" s="741"/>
      <c r="K1231" s="742"/>
    </row>
    <row r="1232" spans="4:11" s="739" customFormat="1" x14ac:dyDescent="0.2">
      <c r="D1232" s="740"/>
      <c r="F1232" s="741"/>
      <c r="G1232" s="741"/>
      <c r="H1232" s="741"/>
      <c r="I1232" s="741"/>
      <c r="J1232" s="741"/>
      <c r="K1232" s="742"/>
    </row>
    <row r="1233" spans="4:11" s="739" customFormat="1" x14ac:dyDescent="0.2">
      <c r="D1233" s="740"/>
      <c r="F1233" s="741"/>
      <c r="G1233" s="741"/>
      <c r="H1233" s="741"/>
      <c r="I1233" s="741"/>
      <c r="J1233" s="741"/>
      <c r="K1233" s="742"/>
    </row>
    <row r="1234" spans="4:11" s="739" customFormat="1" x14ac:dyDescent="0.2">
      <c r="D1234" s="740"/>
      <c r="F1234" s="741"/>
      <c r="G1234" s="741"/>
      <c r="H1234" s="741"/>
      <c r="I1234" s="741"/>
      <c r="J1234" s="741"/>
      <c r="K1234" s="742"/>
    </row>
    <row r="1235" spans="4:11" s="739" customFormat="1" x14ac:dyDescent="0.2">
      <c r="D1235" s="740"/>
      <c r="F1235" s="741"/>
      <c r="G1235" s="741"/>
      <c r="H1235" s="741"/>
      <c r="I1235" s="741"/>
      <c r="J1235" s="741"/>
      <c r="K1235" s="742"/>
    </row>
  </sheetData>
  <sheetProtection algorithmName="SHA-512" hashValue="ImE7fAP+HZAwO3S3HJBMs8fhD0fVKUcyK0Ze/4SOvsuGwMXw8qNzbL6UWe4EwnltwXg+F7r3wdQzUknqXB43gA==" saltValue="6wUd1MPdPVOGXD5bZL0AvQ==" spinCount="100000" sheet="1" objects="1" scenarios="1"/>
  <pageMargins left="0.75" right="0.75" top="1" bottom="1" header="0.5" footer="0.5"/>
  <pageSetup paperSize="9" scale="51" orientation="landscape" r:id="rId1"/>
  <headerFooter alignWithMargins="0">
    <oddHeader>&amp;L&amp;"Arial,Vet"&amp;9&amp;F&amp;R&amp;"Arial,Vet"&amp;9&amp;A</oddHeader>
    <oddFooter>&amp;L&amp;"Arial,Vet"&amp;9be.keizer@wxs.nl&amp;C&amp;"Arial,Vet"&amp;9pagina &amp;P&amp;R&amp;"Arial,Vet"&amp;9&amp;D</oddFooter>
  </headerFooter>
  <rowBreaks count="1" manualBreakCount="1">
    <brk id="70" min="1" max="13" man="1"/>
  </row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62"/>
  <sheetViews>
    <sheetView zoomScale="85" zoomScaleNormal="85" workbookViewId="0">
      <selection activeCell="B2" sqref="B2"/>
    </sheetView>
  </sheetViews>
  <sheetFormatPr defaultRowHeight="12.75" x14ac:dyDescent="0.2"/>
  <cols>
    <col min="1" max="1" width="3.7109375" style="707" customWidth="1"/>
    <col min="2" max="2" width="2.7109375" style="707" customWidth="1"/>
    <col min="3" max="9" width="9.7109375" style="707" customWidth="1"/>
    <col min="10" max="10" width="2.7109375" style="707" customWidth="1"/>
    <col min="11" max="17" width="9.7109375" style="707" customWidth="1"/>
    <col min="18" max="18" width="2.7109375" style="707" customWidth="1"/>
    <col min="19" max="16384" width="9.140625" style="707"/>
  </cols>
  <sheetData>
    <row r="1" spans="2:18" ht="12.75" customHeight="1" x14ac:dyDescent="0.2"/>
    <row r="2" spans="2:18" x14ac:dyDescent="0.2">
      <c r="B2" s="708"/>
      <c r="C2" s="709"/>
      <c r="D2" s="709"/>
      <c r="E2" s="709"/>
      <c r="F2" s="709"/>
      <c r="G2" s="709"/>
      <c r="H2" s="709"/>
      <c r="I2" s="709"/>
      <c r="J2" s="709"/>
      <c r="K2" s="709"/>
      <c r="L2" s="709"/>
      <c r="M2" s="709"/>
      <c r="N2" s="709"/>
      <c r="O2" s="709"/>
      <c r="P2" s="709"/>
      <c r="Q2" s="709"/>
      <c r="R2" s="710"/>
    </row>
    <row r="3" spans="2:18" x14ac:dyDescent="0.2">
      <c r="B3" s="711"/>
      <c r="C3" s="712"/>
      <c r="D3" s="712"/>
      <c r="E3" s="712"/>
      <c r="F3" s="712"/>
      <c r="G3" s="712"/>
      <c r="H3" s="712"/>
      <c r="I3" s="712"/>
      <c r="J3" s="712"/>
      <c r="K3" s="712"/>
      <c r="L3" s="712"/>
      <c r="M3" s="712"/>
      <c r="N3" s="712"/>
      <c r="O3" s="712"/>
      <c r="P3" s="712"/>
      <c r="Q3" s="712"/>
      <c r="R3" s="713"/>
    </row>
    <row r="4" spans="2:18" s="718" customFormat="1" ht="18.75" x14ac:dyDescent="0.3">
      <c r="B4" s="714"/>
      <c r="C4" s="715" t="s">
        <v>504</v>
      </c>
      <c r="D4" s="716"/>
      <c r="E4" s="716"/>
      <c r="F4" s="716"/>
      <c r="G4" s="716"/>
      <c r="H4" s="716"/>
      <c r="I4" s="716"/>
      <c r="J4" s="716"/>
      <c r="K4" s="716"/>
      <c r="L4" s="716"/>
      <c r="M4" s="716"/>
      <c r="N4" s="716"/>
      <c r="O4" s="716"/>
      <c r="P4" s="716"/>
      <c r="Q4" s="716"/>
      <c r="R4" s="717"/>
    </row>
    <row r="5" spans="2:18" s="718" customFormat="1" ht="18.75" x14ac:dyDescent="0.3">
      <c r="B5" s="714"/>
      <c r="C5" s="719" t="str">
        <f>+'geg LO'!C5</f>
        <v xml:space="preserve">SWV VO </v>
      </c>
      <c r="D5" s="716"/>
      <c r="E5" s="716"/>
      <c r="F5" s="716"/>
      <c r="G5" s="716"/>
      <c r="H5" s="716"/>
      <c r="I5" s="716"/>
      <c r="J5" s="716"/>
      <c r="K5" s="716"/>
      <c r="L5" s="716"/>
      <c r="M5" s="716"/>
      <c r="N5" s="716"/>
      <c r="O5" s="716"/>
      <c r="P5" s="716"/>
      <c r="Q5" s="716"/>
      <c r="R5" s="717"/>
    </row>
    <row r="6" spans="2:18" x14ac:dyDescent="0.2">
      <c r="B6" s="711"/>
      <c r="C6" s="712"/>
      <c r="D6" s="712"/>
      <c r="E6" s="712"/>
      <c r="F6" s="712"/>
      <c r="G6" s="712"/>
      <c r="H6" s="712"/>
      <c r="I6" s="712"/>
      <c r="J6" s="712"/>
      <c r="K6" s="712"/>
      <c r="L6" s="712"/>
      <c r="M6" s="712"/>
      <c r="N6" s="712"/>
      <c r="O6" s="712"/>
      <c r="P6" s="712"/>
      <c r="Q6" s="712"/>
      <c r="R6" s="713"/>
    </row>
    <row r="7" spans="2:18" x14ac:dyDescent="0.2">
      <c r="B7" s="711"/>
      <c r="C7" s="712"/>
      <c r="D7" s="712"/>
      <c r="E7" s="712"/>
      <c r="F7" s="712"/>
      <c r="G7" s="712"/>
      <c r="H7" s="712"/>
      <c r="I7" s="712"/>
      <c r="J7" s="712"/>
      <c r="K7" s="712"/>
      <c r="L7" s="712"/>
      <c r="M7" s="712"/>
      <c r="N7" s="712"/>
      <c r="O7" s="712"/>
      <c r="P7" s="712"/>
      <c r="Q7" s="712"/>
      <c r="R7" s="713"/>
    </row>
    <row r="8" spans="2:18" x14ac:dyDescent="0.2">
      <c r="B8" s="711"/>
      <c r="C8" s="712"/>
      <c r="D8" s="712"/>
      <c r="E8" s="712"/>
      <c r="F8" s="712"/>
      <c r="G8" s="712"/>
      <c r="H8" s="712"/>
      <c r="I8" s="712"/>
      <c r="J8" s="712"/>
      <c r="K8" s="712"/>
      <c r="L8" s="712"/>
      <c r="M8" s="712"/>
      <c r="N8" s="712"/>
      <c r="O8" s="712"/>
      <c r="P8" s="712"/>
      <c r="Q8" s="712"/>
      <c r="R8" s="713"/>
    </row>
    <row r="9" spans="2:18" x14ac:dyDescent="0.2">
      <c r="B9" s="711"/>
      <c r="C9" s="712"/>
      <c r="D9" s="712"/>
      <c r="E9" s="712"/>
      <c r="F9" s="712"/>
      <c r="G9" s="712"/>
      <c r="H9" s="712"/>
      <c r="I9" s="712"/>
      <c r="J9" s="712"/>
      <c r="K9" s="712"/>
      <c r="L9" s="712"/>
      <c r="M9" s="712"/>
      <c r="N9" s="712"/>
      <c r="O9" s="712"/>
      <c r="P9" s="712"/>
      <c r="Q9" s="712"/>
      <c r="R9" s="713"/>
    </row>
    <row r="10" spans="2:18" x14ac:dyDescent="0.2">
      <c r="B10" s="711"/>
      <c r="C10" s="712"/>
      <c r="D10" s="712"/>
      <c r="E10" s="712"/>
      <c r="F10" s="712"/>
      <c r="G10" s="712"/>
      <c r="H10" s="712"/>
      <c r="I10" s="712"/>
      <c r="J10" s="712"/>
      <c r="K10" s="712"/>
      <c r="L10" s="712"/>
      <c r="M10" s="712"/>
      <c r="N10" s="712"/>
      <c r="O10" s="712"/>
      <c r="P10" s="712"/>
      <c r="Q10" s="712"/>
      <c r="R10" s="713"/>
    </row>
    <row r="11" spans="2:18" x14ac:dyDescent="0.2">
      <c r="B11" s="711"/>
      <c r="C11" s="712"/>
      <c r="D11" s="712"/>
      <c r="E11" s="712"/>
      <c r="F11" s="712"/>
      <c r="G11" s="712"/>
      <c r="H11" s="712"/>
      <c r="I11" s="712"/>
      <c r="J11" s="712"/>
      <c r="K11" s="712"/>
      <c r="L11" s="712"/>
      <c r="M11" s="712"/>
      <c r="N11" s="712"/>
      <c r="O11" s="712"/>
      <c r="P11" s="712"/>
      <c r="Q11" s="712"/>
      <c r="R11" s="713"/>
    </row>
    <row r="12" spans="2:18" x14ac:dyDescent="0.2">
      <c r="B12" s="711"/>
      <c r="C12" s="712"/>
      <c r="D12" s="712"/>
      <c r="E12" s="712"/>
      <c r="F12" s="712"/>
      <c r="G12" s="712"/>
      <c r="H12" s="712"/>
      <c r="I12" s="712"/>
      <c r="J12" s="712"/>
      <c r="K12" s="712"/>
      <c r="L12" s="712"/>
      <c r="M12" s="712"/>
      <c r="N12" s="712"/>
      <c r="O12" s="712"/>
      <c r="P12" s="712"/>
      <c r="Q12" s="712"/>
      <c r="R12" s="713"/>
    </row>
    <row r="13" spans="2:18" x14ac:dyDescent="0.2">
      <c r="B13" s="711"/>
      <c r="C13" s="712"/>
      <c r="D13" s="712"/>
      <c r="E13" s="712"/>
      <c r="F13" s="712"/>
      <c r="G13" s="712"/>
      <c r="H13" s="712"/>
      <c r="I13" s="712"/>
      <c r="J13" s="712"/>
      <c r="K13" s="712"/>
      <c r="L13" s="712"/>
      <c r="M13" s="712"/>
      <c r="N13" s="712"/>
      <c r="O13" s="712"/>
      <c r="P13" s="712"/>
      <c r="Q13" s="712"/>
      <c r="R13" s="713"/>
    </row>
    <row r="14" spans="2:18" x14ac:dyDescent="0.2">
      <c r="B14" s="711"/>
      <c r="C14" s="712"/>
      <c r="D14" s="712"/>
      <c r="E14" s="712"/>
      <c r="F14" s="712"/>
      <c r="G14" s="712"/>
      <c r="H14" s="712"/>
      <c r="I14" s="712"/>
      <c r="J14" s="712"/>
      <c r="K14" s="712"/>
      <c r="L14" s="712"/>
      <c r="M14" s="712"/>
      <c r="N14" s="712"/>
      <c r="O14" s="712"/>
      <c r="P14" s="712"/>
      <c r="Q14" s="712"/>
      <c r="R14" s="713"/>
    </row>
    <row r="15" spans="2:18" x14ac:dyDescent="0.2">
      <c r="B15" s="711"/>
      <c r="C15" s="712"/>
      <c r="D15" s="712"/>
      <c r="E15" s="712"/>
      <c r="F15" s="712"/>
      <c r="G15" s="712"/>
      <c r="H15" s="712"/>
      <c r="I15" s="712"/>
      <c r="J15" s="712"/>
      <c r="K15" s="712"/>
      <c r="L15" s="712"/>
      <c r="M15" s="712"/>
      <c r="N15" s="712"/>
      <c r="O15" s="712"/>
      <c r="P15" s="712"/>
      <c r="Q15" s="712"/>
      <c r="R15" s="713"/>
    </row>
    <row r="16" spans="2:18" x14ac:dyDescent="0.2">
      <c r="B16" s="711"/>
      <c r="C16" s="712"/>
      <c r="D16" s="712"/>
      <c r="E16" s="712"/>
      <c r="F16" s="712"/>
      <c r="G16" s="712"/>
      <c r="H16" s="712"/>
      <c r="I16" s="712"/>
      <c r="J16" s="712"/>
      <c r="K16" s="712"/>
      <c r="L16" s="712"/>
      <c r="M16" s="712"/>
      <c r="N16" s="712"/>
      <c r="O16" s="712"/>
      <c r="P16" s="712"/>
      <c r="Q16" s="712"/>
      <c r="R16" s="713"/>
    </row>
    <row r="17" spans="2:18" x14ac:dyDescent="0.2">
      <c r="B17" s="711"/>
      <c r="C17" s="712"/>
      <c r="D17" s="712"/>
      <c r="E17" s="712"/>
      <c r="F17" s="712"/>
      <c r="G17" s="712"/>
      <c r="H17" s="712"/>
      <c r="I17" s="712"/>
      <c r="J17" s="712"/>
      <c r="K17" s="712"/>
      <c r="L17" s="712"/>
      <c r="M17" s="712"/>
      <c r="N17" s="712"/>
      <c r="O17" s="712"/>
      <c r="P17" s="712"/>
      <c r="Q17" s="712"/>
      <c r="R17" s="713"/>
    </row>
    <row r="18" spans="2:18" x14ac:dyDescent="0.2">
      <c r="B18" s="711"/>
      <c r="C18" s="712"/>
      <c r="D18" s="712"/>
      <c r="E18" s="712"/>
      <c r="F18" s="712"/>
      <c r="G18" s="712"/>
      <c r="H18" s="712"/>
      <c r="I18" s="712"/>
      <c r="J18" s="712"/>
      <c r="K18" s="712"/>
      <c r="L18" s="712"/>
      <c r="M18" s="712"/>
      <c r="N18" s="712"/>
      <c r="O18" s="712"/>
      <c r="P18" s="712"/>
      <c r="Q18" s="712"/>
      <c r="R18" s="713"/>
    </row>
    <row r="19" spans="2:18" x14ac:dyDescent="0.2">
      <c r="B19" s="711"/>
      <c r="C19" s="712"/>
      <c r="D19" s="712"/>
      <c r="E19" s="712"/>
      <c r="F19" s="712"/>
      <c r="G19" s="712"/>
      <c r="H19" s="712"/>
      <c r="I19" s="712"/>
      <c r="J19" s="712"/>
      <c r="K19" s="712"/>
      <c r="L19" s="712"/>
      <c r="M19" s="712"/>
      <c r="N19" s="712"/>
      <c r="O19" s="712"/>
      <c r="P19" s="712"/>
      <c r="Q19" s="712"/>
      <c r="R19" s="713"/>
    </row>
    <row r="20" spans="2:18" x14ac:dyDescent="0.2">
      <c r="B20" s="711"/>
      <c r="C20" s="712"/>
      <c r="D20" s="712"/>
      <c r="E20" s="712"/>
      <c r="F20" s="712"/>
      <c r="G20" s="712"/>
      <c r="H20" s="712"/>
      <c r="I20" s="712"/>
      <c r="J20" s="712"/>
      <c r="K20" s="712"/>
      <c r="L20" s="712"/>
      <c r="M20" s="712"/>
      <c r="N20" s="712"/>
      <c r="O20" s="712"/>
      <c r="P20" s="712"/>
      <c r="Q20" s="712"/>
      <c r="R20" s="713"/>
    </row>
    <row r="21" spans="2:18" x14ac:dyDescent="0.2">
      <c r="B21" s="711"/>
      <c r="C21" s="712"/>
      <c r="D21" s="712"/>
      <c r="E21" s="712"/>
      <c r="F21" s="712"/>
      <c r="G21" s="712"/>
      <c r="H21" s="712"/>
      <c r="I21" s="712"/>
      <c r="J21" s="712"/>
      <c r="K21" s="712"/>
      <c r="L21" s="712"/>
      <c r="M21" s="712"/>
      <c r="N21" s="712"/>
      <c r="O21" s="712"/>
      <c r="P21" s="712"/>
      <c r="Q21" s="712"/>
      <c r="R21" s="713"/>
    </row>
    <row r="22" spans="2:18" x14ac:dyDescent="0.2">
      <c r="B22" s="711"/>
      <c r="C22" s="712"/>
      <c r="D22" s="712"/>
      <c r="E22" s="712"/>
      <c r="F22" s="712"/>
      <c r="G22" s="712"/>
      <c r="H22" s="712"/>
      <c r="I22" s="712"/>
      <c r="J22" s="712"/>
      <c r="K22" s="712"/>
      <c r="L22" s="712"/>
      <c r="M22" s="712"/>
      <c r="N22" s="712"/>
      <c r="O22" s="712"/>
      <c r="P22" s="712"/>
      <c r="Q22" s="712"/>
      <c r="R22" s="713"/>
    </row>
    <row r="23" spans="2:18" x14ac:dyDescent="0.2">
      <c r="B23" s="711"/>
      <c r="C23" s="712"/>
      <c r="D23" s="712"/>
      <c r="E23" s="712"/>
      <c r="F23" s="712"/>
      <c r="G23" s="712"/>
      <c r="H23" s="712"/>
      <c r="I23" s="712"/>
      <c r="J23" s="712"/>
      <c r="K23" s="712"/>
      <c r="L23" s="712"/>
      <c r="M23" s="712"/>
      <c r="N23" s="712"/>
      <c r="O23" s="712"/>
      <c r="P23" s="712"/>
      <c r="Q23" s="712"/>
      <c r="R23" s="713"/>
    </row>
    <row r="24" spans="2:18" x14ac:dyDescent="0.2">
      <c r="B24" s="711"/>
      <c r="C24" s="712"/>
      <c r="D24" s="712"/>
      <c r="E24" s="712"/>
      <c r="F24" s="712"/>
      <c r="G24" s="712"/>
      <c r="H24" s="712"/>
      <c r="I24" s="712"/>
      <c r="J24" s="712"/>
      <c r="K24" s="712"/>
      <c r="L24" s="712"/>
      <c r="M24" s="712"/>
      <c r="N24" s="712"/>
      <c r="O24" s="712"/>
      <c r="P24" s="712"/>
      <c r="Q24" s="712"/>
      <c r="R24" s="713"/>
    </row>
    <row r="25" spans="2:18" x14ac:dyDescent="0.2">
      <c r="B25" s="711"/>
      <c r="C25" s="712"/>
      <c r="D25" s="712"/>
      <c r="E25" s="712"/>
      <c r="F25" s="712"/>
      <c r="G25" s="712"/>
      <c r="H25" s="712"/>
      <c r="I25" s="712"/>
      <c r="J25" s="712"/>
      <c r="K25" s="712"/>
      <c r="L25" s="712"/>
      <c r="M25" s="712"/>
      <c r="N25" s="712"/>
      <c r="O25" s="712"/>
      <c r="P25" s="712"/>
      <c r="Q25" s="712"/>
      <c r="R25" s="713"/>
    </row>
    <row r="26" spans="2:18" x14ac:dyDescent="0.2">
      <c r="B26" s="711"/>
      <c r="C26" s="712"/>
      <c r="D26" s="712"/>
      <c r="E26" s="712"/>
      <c r="F26" s="712"/>
      <c r="G26" s="712"/>
      <c r="H26" s="712"/>
      <c r="I26" s="712"/>
      <c r="J26" s="712"/>
      <c r="K26" s="712"/>
      <c r="L26" s="712"/>
      <c r="M26" s="712"/>
      <c r="N26" s="712"/>
      <c r="O26" s="712"/>
      <c r="P26" s="712"/>
      <c r="Q26" s="712"/>
      <c r="R26" s="713"/>
    </row>
    <row r="27" spans="2:18" x14ac:dyDescent="0.2">
      <c r="B27" s="711"/>
      <c r="C27" s="712"/>
      <c r="D27" s="712"/>
      <c r="E27" s="712"/>
      <c r="F27" s="712"/>
      <c r="G27" s="712"/>
      <c r="H27" s="712"/>
      <c r="I27" s="712"/>
      <c r="J27" s="712"/>
      <c r="K27" s="712"/>
      <c r="L27" s="712"/>
      <c r="M27" s="712"/>
      <c r="N27" s="712"/>
      <c r="O27" s="712"/>
      <c r="P27" s="712"/>
      <c r="Q27" s="712"/>
      <c r="R27" s="713"/>
    </row>
    <row r="28" spans="2:18" x14ac:dyDescent="0.2">
      <c r="B28" s="711"/>
      <c r="C28" s="712"/>
      <c r="D28" s="712"/>
      <c r="E28" s="712"/>
      <c r="F28" s="712"/>
      <c r="G28" s="712"/>
      <c r="H28" s="712"/>
      <c r="I28" s="712"/>
      <c r="J28" s="712"/>
      <c r="K28" s="712"/>
      <c r="L28" s="712"/>
      <c r="M28" s="712"/>
      <c r="N28" s="712"/>
      <c r="O28" s="712"/>
      <c r="P28" s="712"/>
      <c r="Q28" s="712"/>
      <c r="R28" s="713"/>
    </row>
    <row r="29" spans="2:18" x14ac:dyDescent="0.2">
      <c r="B29" s="711"/>
      <c r="C29" s="712"/>
      <c r="D29" s="712"/>
      <c r="E29" s="712"/>
      <c r="F29" s="712"/>
      <c r="G29" s="712"/>
      <c r="H29" s="712"/>
      <c r="I29" s="712"/>
      <c r="J29" s="712"/>
      <c r="K29" s="712"/>
      <c r="L29" s="712"/>
      <c r="M29" s="712"/>
      <c r="N29" s="712"/>
      <c r="O29" s="712"/>
      <c r="P29" s="712"/>
      <c r="Q29" s="712"/>
      <c r="R29" s="713"/>
    </row>
    <row r="30" spans="2:18" x14ac:dyDescent="0.2">
      <c r="B30" s="711"/>
      <c r="C30" s="712"/>
      <c r="D30" s="712"/>
      <c r="E30" s="712"/>
      <c r="F30" s="712"/>
      <c r="G30" s="712"/>
      <c r="H30" s="712"/>
      <c r="I30" s="712"/>
      <c r="J30" s="712"/>
      <c r="K30" s="712"/>
      <c r="L30" s="712"/>
      <c r="M30" s="712"/>
      <c r="N30" s="712"/>
      <c r="O30" s="712"/>
      <c r="P30" s="712"/>
      <c r="Q30" s="712"/>
      <c r="R30" s="713"/>
    </row>
    <row r="31" spans="2:18" x14ac:dyDescent="0.2">
      <c r="B31" s="711"/>
      <c r="C31" s="712"/>
      <c r="D31" s="712"/>
      <c r="E31" s="712"/>
      <c r="F31" s="712"/>
      <c r="G31" s="712"/>
      <c r="H31" s="712"/>
      <c r="I31" s="712"/>
      <c r="J31" s="712"/>
      <c r="K31" s="712"/>
      <c r="L31" s="712"/>
      <c r="M31" s="712"/>
      <c r="N31" s="712"/>
      <c r="O31" s="712"/>
      <c r="P31" s="712"/>
      <c r="Q31" s="712"/>
      <c r="R31" s="713"/>
    </row>
    <row r="32" spans="2:18" x14ac:dyDescent="0.2">
      <c r="B32" s="711"/>
      <c r="C32" s="712"/>
      <c r="D32" s="712"/>
      <c r="E32" s="712"/>
      <c r="F32" s="712"/>
      <c r="G32" s="712"/>
      <c r="H32" s="712"/>
      <c r="I32" s="712"/>
      <c r="J32" s="712"/>
      <c r="K32" s="712"/>
      <c r="L32" s="712"/>
      <c r="M32" s="712"/>
      <c r="N32" s="712"/>
      <c r="O32" s="712"/>
      <c r="P32" s="712"/>
      <c r="Q32" s="712"/>
      <c r="R32" s="713"/>
    </row>
    <row r="33" spans="2:18" x14ac:dyDescent="0.2">
      <c r="B33" s="711"/>
      <c r="C33" s="712"/>
      <c r="D33" s="712"/>
      <c r="E33" s="712"/>
      <c r="F33" s="712"/>
      <c r="G33" s="712"/>
      <c r="H33" s="712"/>
      <c r="I33" s="712"/>
      <c r="J33" s="712"/>
      <c r="K33" s="712"/>
      <c r="L33" s="712"/>
      <c r="M33" s="712"/>
      <c r="N33" s="712"/>
      <c r="O33" s="712"/>
      <c r="P33" s="712"/>
      <c r="Q33" s="712"/>
      <c r="R33" s="713"/>
    </row>
    <row r="34" spans="2:18" x14ac:dyDescent="0.2">
      <c r="B34" s="711"/>
      <c r="C34" s="712"/>
      <c r="D34" s="712"/>
      <c r="E34" s="712"/>
      <c r="F34" s="712"/>
      <c r="G34" s="712"/>
      <c r="H34" s="712"/>
      <c r="I34" s="712"/>
      <c r="J34" s="712"/>
      <c r="K34" s="712"/>
      <c r="L34" s="712"/>
      <c r="M34" s="712"/>
      <c r="N34" s="712"/>
      <c r="O34" s="712"/>
      <c r="P34" s="712"/>
      <c r="Q34" s="712"/>
      <c r="R34" s="713"/>
    </row>
    <row r="35" spans="2:18" x14ac:dyDescent="0.2">
      <c r="B35" s="711"/>
      <c r="C35" s="712"/>
      <c r="D35" s="712"/>
      <c r="E35" s="712"/>
      <c r="F35" s="712"/>
      <c r="G35" s="712"/>
      <c r="H35" s="712"/>
      <c r="I35" s="712"/>
      <c r="J35" s="712"/>
      <c r="K35" s="712"/>
      <c r="L35" s="712"/>
      <c r="M35" s="712"/>
      <c r="N35" s="712"/>
      <c r="O35" s="712"/>
      <c r="P35" s="712"/>
      <c r="Q35" s="712"/>
      <c r="R35" s="713"/>
    </row>
    <row r="36" spans="2:18" x14ac:dyDescent="0.2">
      <c r="B36" s="711"/>
      <c r="C36" s="712"/>
      <c r="D36" s="712"/>
      <c r="E36" s="712"/>
      <c r="F36" s="712"/>
      <c r="G36" s="712"/>
      <c r="H36" s="712"/>
      <c r="I36" s="712"/>
      <c r="J36" s="712"/>
      <c r="K36" s="712"/>
      <c r="L36" s="712"/>
      <c r="M36" s="712"/>
      <c r="N36" s="712"/>
      <c r="O36" s="712"/>
      <c r="P36" s="712"/>
      <c r="Q36" s="712"/>
      <c r="R36" s="713"/>
    </row>
    <row r="37" spans="2:18" x14ac:dyDescent="0.2">
      <c r="B37" s="711"/>
      <c r="C37" s="712"/>
      <c r="D37" s="712"/>
      <c r="E37" s="712"/>
      <c r="F37" s="712"/>
      <c r="G37" s="712"/>
      <c r="H37" s="712"/>
      <c r="I37" s="712"/>
      <c r="J37" s="712"/>
      <c r="K37" s="712"/>
      <c r="L37" s="712"/>
      <c r="M37" s="712"/>
      <c r="N37" s="712"/>
      <c r="O37" s="712"/>
      <c r="P37" s="712"/>
      <c r="Q37" s="712"/>
      <c r="R37" s="713"/>
    </row>
    <row r="38" spans="2:18" x14ac:dyDescent="0.2">
      <c r="B38" s="711"/>
      <c r="C38" s="712"/>
      <c r="D38" s="712"/>
      <c r="E38" s="712"/>
      <c r="F38" s="712"/>
      <c r="G38" s="712"/>
      <c r="H38" s="712"/>
      <c r="I38" s="712"/>
      <c r="J38" s="712"/>
      <c r="K38" s="712"/>
      <c r="L38" s="712"/>
      <c r="M38" s="712"/>
      <c r="N38" s="712"/>
      <c r="O38" s="712"/>
      <c r="P38" s="712"/>
      <c r="Q38" s="712"/>
      <c r="R38" s="713"/>
    </row>
    <row r="39" spans="2:18" x14ac:dyDescent="0.2">
      <c r="B39" s="711"/>
      <c r="C39" s="712"/>
      <c r="D39" s="712"/>
      <c r="E39" s="712"/>
      <c r="F39" s="712"/>
      <c r="G39" s="712"/>
      <c r="H39" s="712"/>
      <c r="I39" s="712"/>
      <c r="J39" s="712"/>
      <c r="K39" s="712"/>
      <c r="L39" s="712"/>
      <c r="M39" s="712"/>
      <c r="N39" s="712"/>
      <c r="O39" s="712"/>
      <c r="P39" s="712"/>
      <c r="Q39" s="712"/>
      <c r="R39" s="713"/>
    </row>
    <row r="40" spans="2:18" x14ac:dyDescent="0.2">
      <c r="B40" s="711"/>
      <c r="C40" s="712"/>
      <c r="D40" s="712"/>
      <c r="E40" s="712"/>
      <c r="F40" s="712"/>
      <c r="G40" s="712"/>
      <c r="H40" s="712"/>
      <c r="I40" s="712"/>
      <c r="J40" s="712"/>
      <c r="K40" s="712"/>
      <c r="L40" s="712"/>
      <c r="M40" s="712"/>
      <c r="N40" s="712"/>
      <c r="O40" s="712"/>
      <c r="P40" s="712"/>
      <c r="Q40" s="712"/>
      <c r="R40" s="713"/>
    </row>
    <row r="41" spans="2:18" x14ac:dyDescent="0.2">
      <c r="B41" s="711"/>
      <c r="C41" s="712"/>
      <c r="D41" s="712"/>
      <c r="E41" s="712"/>
      <c r="F41" s="712"/>
      <c r="G41" s="712"/>
      <c r="H41" s="712"/>
      <c r="I41" s="712"/>
      <c r="J41" s="712"/>
      <c r="K41" s="712"/>
      <c r="L41" s="712"/>
      <c r="M41" s="712"/>
      <c r="N41" s="712"/>
      <c r="O41" s="712"/>
      <c r="P41" s="712"/>
      <c r="Q41" s="712"/>
      <c r="R41" s="713"/>
    </row>
    <row r="42" spans="2:18" x14ac:dyDescent="0.2">
      <c r="B42" s="711"/>
      <c r="C42" s="712"/>
      <c r="D42" s="712"/>
      <c r="E42" s="712"/>
      <c r="F42" s="712"/>
      <c r="G42" s="712"/>
      <c r="H42" s="712"/>
      <c r="I42" s="712"/>
      <c r="J42" s="712"/>
      <c r="K42" s="712"/>
      <c r="L42" s="712"/>
      <c r="M42" s="712"/>
      <c r="N42" s="712"/>
      <c r="O42" s="712"/>
      <c r="P42" s="712"/>
      <c r="Q42" s="712"/>
      <c r="R42" s="713"/>
    </row>
    <row r="43" spans="2:18" x14ac:dyDescent="0.2">
      <c r="B43" s="711"/>
      <c r="C43" s="712"/>
      <c r="D43" s="712"/>
      <c r="E43" s="712"/>
      <c r="F43" s="712"/>
      <c r="G43" s="712"/>
      <c r="H43" s="712"/>
      <c r="I43" s="712"/>
      <c r="J43" s="712"/>
      <c r="K43" s="712"/>
      <c r="L43" s="712"/>
      <c r="M43" s="712"/>
      <c r="N43" s="712"/>
      <c r="O43" s="712"/>
      <c r="P43" s="712"/>
      <c r="Q43" s="712"/>
      <c r="R43" s="713"/>
    </row>
    <row r="44" spans="2:18" x14ac:dyDescent="0.2">
      <c r="B44" s="711"/>
      <c r="C44" s="712"/>
      <c r="D44" s="712"/>
      <c r="E44" s="712"/>
      <c r="F44" s="712"/>
      <c r="G44" s="712"/>
      <c r="H44" s="712"/>
      <c r="I44" s="712"/>
      <c r="J44" s="712"/>
      <c r="K44" s="712"/>
      <c r="L44" s="712"/>
      <c r="M44" s="712"/>
      <c r="N44" s="712"/>
      <c r="O44" s="712"/>
      <c r="P44" s="712"/>
      <c r="Q44" s="712"/>
      <c r="R44" s="713"/>
    </row>
    <row r="45" spans="2:18" x14ac:dyDescent="0.2">
      <c r="B45" s="711"/>
      <c r="C45" s="712"/>
      <c r="D45" s="712"/>
      <c r="E45" s="712"/>
      <c r="F45" s="712"/>
      <c r="G45" s="712"/>
      <c r="H45" s="712"/>
      <c r="I45" s="712"/>
      <c r="J45" s="712"/>
      <c r="K45" s="712"/>
      <c r="L45" s="712"/>
      <c r="M45" s="712"/>
      <c r="N45" s="712"/>
      <c r="O45" s="712"/>
      <c r="P45" s="712"/>
      <c r="Q45" s="712"/>
      <c r="R45" s="713"/>
    </row>
    <row r="46" spans="2:18" x14ac:dyDescent="0.2">
      <c r="B46" s="711"/>
      <c r="C46" s="712"/>
      <c r="D46" s="712"/>
      <c r="E46" s="712"/>
      <c r="F46" s="712"/>
      <c r="G46" s="712"/>
      <c r="H46" s="712"/>
      <c r="I46" s="712"/>
      <c r="J46" s="712"/>
      <c r="K46" s="712"/>
      <c r="L46" s="712"/>
      <c r="M46" s="712"/>
      <c r="N46" s="712"/>
      <c r="O46" s="712"/>
      <c r="P46" s="712"/>
      <c r="Q46" s="712"/>
      <c r="R46" s="713"/>
    </row>
    <row r="47" spans="2:18" x14ac:dyDescent="0.2">
      <c r="B47" s="711"/>
      <c r="C47" s="712"/>
      <c r="D47" s="712"/>
      <c r="E47" s="712"/>
      <c r="F47" s="712"/>
      <c r="G47" s="712"/>
      <c r="H47" s="712"/>
      <c r="I47" s="712"/>
      <c r="J47" s="712"/>
      <c r="K47" s="712"/>
      <c r="L47" s="712"/>
      <c r="M47" s="712"/>
      <c r="N47" s="712"/>
      <c r="O47" s="712"/>
      <c r="P47" s="712"/>
      <c r="Q47" s="712"/>
      <c r="R47" s="713"/>
    </row>
    <row r="48" spans="2:18" x14ac:dyDescent="0.2">
      <c r="B48" s="711"/>
      <c r="C48" s="712"/>
      <c r="D48" s="712"/>
      <c r="E48" s="712"/>
      <c r="F48" s="712"/>
      <c r="G48" s="712"/>
      <c r="H48" s="712"/>
      <c r="I48" s="712"/>
      <c r="J48" s="712"/>
      <c r="K48" s="712"/>
      <c r="L48" s="712"/>
      <c r="M48" s="712"/>
      <c r="N48" s="712"/>
      <c r="O48" s="712"/>
      <c r="P48" s="712"/>
      <c r="Q48" s="712"/>
      <c r="R48" s="713"/>
    </row>
    <row r="49" spans="2:18" x14ac:dyDescent="0.2">
      <c r="B49" s="711"/>
      <c r="C49" s="712"/>
      <c r="D49" s="712"/>
      <c r="E49" s="712"/>
      <c r="F49" s="712"/>
      <c r="G49" s="712"/>
      <c r="H49" s="712"/>
      <c r="I49" s="712"/>
      <c r="J49" s="712"/>
      <c r="K49" s="712"/>
      <c r="L49" s="712"/>
      <c r="M49" s="712"/>
      <c r="N49" s="712"/>
      <c r="O49" s="712"/>
      <c r="P49" s="712"/>
      <c r="Q49" s="712"/>
      <c r="R49" s="713"/>
    </row>
    <row r="50" spans="2:18" x14ac:dyDescent="0.2">
      <c r="B50" s="711"/>
      <c r="C50" s="712"/>
      <c r="D50" s="712"/>
      <c r="E50" s="712"/>
      <c r="F50" s="712"/>
      <c r="G50" s="712"/>
      <c r="H50" s="712"/>
      <c r="I50" s="712"/>
      <c r="J50" s="712"/>
      <c r="K50" s="712"/>
      <c r="L50" s="712"/>
      <c r="M50" s="712"/>
      <c r="N50" s="712"/>
      <c r="O50" s="712"/>
      <c r="P50" s="712"/>
      <c r="Q50" s="712"/>
      <c r="R50" s="713"/>
    </row>
    <row r="51" spans="2:18" x14ac:dyDescent="0.2">
      <c r="B51" s="711"/>
      <c r="C51" s="712"/>
      <c r="D51" s="712"/>
      <c r="E51" s="712"/>
      <c r="F51" s="712"/>
      <c r="G51" s="712"/>
      <c r="H51" s="712"/>
      <c r="I51" s="712"/>
      <c r="J51" s="712"/>
      <c r="K51" s="712"/>
      <c r="L51" s="712"/>
      <c r="M51" s="712"/>
      <c r="N51" s="712"/>
      <c r="O51" s="712"/>
      <c r="P51" s="712"/>
      <c r="Q51" s="712"/>
      <c r="R51" s="713"/>
    </row>
    <row r="52" spans="2:18" x14ac:dyDescent="0.2">
      <c r="B52" s="711"/>
      <c r="C52" s="712"/>
      <c r="D52" s="712"/>
      <c r="E52" s="712"/>
      <c r="F52" s="712"/>
      <c r="G52" s="712"/>
      <c r="H52" s="712"/>
      <c r="I52" s="712"/>
      <c r="J52" s="712"/>
      <c r="K52" s="712"/>
      <c r="L52" s="712"/>
      <c r="M52" s="712"/>
      <c r="N52" s="712"/>
      <c r="O52" s="712"/>
      <c r="P52" s="712"/>
      <c r="Q52" s="712"/>
      <c r="R52" s="713"/>
    </row>
    <row r="53" spans="2:18" x14ac:dyDescent="0.2">
      <c r="B53" s="711"/>
      <c r="C53" s="712"/>
      <c r="D53" s="712"/>
      <c r="E53" s="712"/>
      <c r="F53" s="712"/>
      <c r="G53" s="712"/>
      <c r="H53" s="712"/>
      <c r="I53" s="712"/>
      <c r="J53" s="712"/>
      <c r="K53" s="712"/>
      <c r="L53" s="712"/>
      <c r="M53" s="712"/>
      <c r="N53" s="712"/>
      <c r="O53" s="712"/>
      <c r="P53" s="712"/>
      <c r="Q53" s="712"/>
      <c r="R53" s="713"/>
    </row>
    <row r="54" spans="2:18" x14ac:dyDescent="0.2">
      <c r="B54" s="711"/>
      <c r="C54" s="712"/>
      <c r="D54" s="712"/>
      <c r="E54" s="712"/>
      <c r="F54" s="712"/>
      <c r="G54" s="712"/>
      <c r="H54" s="712"/>
      <c r="I54" s="712"/>
      <c r="J54" s="712"/>
      <c r="K54" s="712"/>
      <c r="L54" s="712"/>
      <c r="M54" s="712"/>
      <c r="N54" s="712"/>
      <c r="O54" s="712"/>
      <c r="P54" s="712"/>
      <c r="Q54" s="712"/>
      <c r="R54" s="713"/>
    </row>
    <row r="55" spans="2:18" x14ac:dyDescent="0.2">
      <c r="B55" s="711"/>
      <c r="C55" s="712"/>
      <c r="D55" s="712"/>
      <c r="E55" s="712"/>
      <c r="F55" s="712"/>
      <c r="G55" s="712"/>
      <c r="H55" s="712"/>
      <c r="I55" s="712"/>
      <c r="J55" s="712"/>
      <c r="K55" s="712"/>
      <c r="L55" s="712"/>
      <c r="M55" s="712"/>
      <c r="N55" s="712"/>
      <c r="O55" s="712"/>
      <c r="P55" s="712"/>
      <c r="Q55" s="712"/>
      <c r="R55" s="713"/>
    </row>
    <row r="56" spans="2:18" x14ac:dyDescent="0.2">
      <c r="B56" s="711"/>
      <c r="C56" s="712"/>
      <c r="D56" s="712"/>
      <c r="E56" s="712"/>
      <c r="F56" s="712"/>
      <c r="G56" s="712"/>
      <c r="H56" s="712"/>
      <c r="I56" s="712"/>
      <c r="J56" s="712"/>
      <c r="K56" s="712"/>
      <c r="L56" s="712"/>
      <c r="M56" s="712"/>
      <c r="N56" s="712"/>
      <c r="O56" s="712"/>
      <c r="P56" s="712"/>
      <c r="Q56" s="712"/>
      <c r="R56" s="713"/>
    </row>
    <row r="57" spans="2:18" x14ac:dyDescent="0.2">
      <c r="B57" s="711"/>
      <c r="C57" s="712"/>
      <c r="D57" s="712"/>
      <c r="E57" s="712"/>
      <c r="F57" s="712"/>
      <c r="G57" s="712"/>
      <c r="H57" s="712"/>
      <c r="I57" s="712"/>
      <c r="J57" s="712"/>
      <c r="K57" s="712"/>
      <c r="L57" s="712"/>
      <c r="M57" s="712"/>
      <c r="N57" s="712"/>
      <c r="O57" s="712"/>
      <c r="P57" s="712"/>
      <c r="Q57" s="712"/>
      <c r="R57" s="713"/>
    </row>
    <row r="58" spans="2:18" x14ac:dyDescent="0.2">
      <c r="B58" s="711"/>
      <c r="C58" s="712"/>
      <c r="D58" s="712"/>
      <c r="E58" s="712"/>
      <c r="F58" s="712"/>
      <c r="G58" s="712"/>
      <c r="H58" s="712"/>
      <c r="I58" s="712"/>
      <c r="J58" s="712"/>
      <c r="K58" s="712"/>
      <c r="L58" s="712"/>
      <c r="M58" s="712"/>
      <c r="N58" s="712"/>
      <c r="O58" s="712"/>
      <c r="P58" s="712"/>
      <c r="Q58" s="712"/>
      <c r="R58" s="713"/>
    </row>
    <row r="59" spans="2:18" x14ac:dyDescent="0.2">
      <c r="B59" s="711"/>
      <c r="C59" s="712"/>
      <c r="D59" s="712"/>
      <c r="E59" s="712"/>
      <c r="F59" s="712"/>
      <c r="G59" s="712"/>
      <c r="H59" s="712"/>
      <c r="I59" s="712"/>
      <c r="J59" s="712"/>
      <c r="K59" s="712"/>
      <c r="L59" s="712"/>
      <c r="M59" s="712"/>
      <c r="N59" s="712"/>
      <c r="O59" s="712"/>
      <c r="P59" s="712"/>
      <c r="Q59" s="712"/>
      <c r="R59" s="713"/>
    </row>
    <row r="60" spans="2:18" x14ac:dyDescent="0.2">
      <c r="B60" s="711"/>
      <c r="C60" s="712"/>
      <c r="D60" s="712"/>
      <c r="E60" s="712"/>
      <c r="F60" s="712"/>
      <c r="G60" s="712"/>
      <c r="H60" s="712"/>
      <c r="I60" s="712"/>
      <c r="J60" s="712"/>
      <c r="K60" s="712"/>
      <c r="L60" s="712"/>
      <c r="M60" s="712"/>
      <c r="N60" s="712"/>
      <c r="O60" s="712"/>
      <c r="P60" s="712"/>
      <c r="Q60" s="712"/>
      <c r="R60" s="713"/>
    </row>
    <row r="61" spans="2:18" x14ac:dyDescent="0.2">
      <c r="B61" s="711"/>
      <c r="C61" s="712"/>
      <c r="D61" s="712"/>
      <c r="E61" s="712"/>
      <c r="F61" s="712"/>
      <c r="G61" s="712"/>
      <c r="H61" s="712"/>
      <c r="I61" s="712"/>
      <c r="J61" s="712"/>
      <c r="K61" s="712"/>
      <c r="L61" s="712"/>
      <c r="M61" s="712"/>
      <c r="N61" s="712"/>
      <c r="O61" s="712"/>
      <c r="P61" s="712"/>
      <c r="Q61" s="712"/>
      <c r="R61" s="713"/>
    </row>
    <row r="62" spans="2:18" x14ac:dyDescent="0.2">
      <c r="B62" s="711"/>
      <c r="C62" s="712"/>
      <c r="D62" s="712"/>
      <c r="E62" s="712"/>
      <c r="F62" s="712"/>
      <c r="G62" s="712"/>
      <c r="H62" s="712"/>
      <c r="I62" s="712"/>
      <c r="J62" s="712"/>
      <c r="K62" s="712"/>
      <c r="L62" s="712"/>
      <c r="M62" s="712"/>
      <c r="N62" s="712"/>
      <c r="O62" s="712"/>
      <c r="P62" s="712"/>
      <c r="Q62" s="712"/>
      <c r="R62" s="713"/>
    </row>
    <row r="63" spans="2:18" x14ac:dyDescent="0.2">
      <c r="B63" s="711"/>
      <c r="C63" s="712"/>
      <c r="D63" s="712"/>
      <c r="E63" s="712"/>
      <c r="F63" s="712"/>
      <c r="G63" s="712"/>
      <c r="H63" s="712"/>
      <c r="I63" s="712"/>
      <c r="J63" s="712"/>
      <c r="K63" s="712"/>
      <c r="L63" s="712"/>
      <c r="M63" s="712"/>
      <c r="N63" s="712"/>
      <c r="O63" s="712"/>
      <c r="P63" s="712"/>
      <c r="Q63" s="712"/>
      <c r="R63" s="713"/>
    </row>
    <row r="64" spans="2:18" x14ac:dyDescent="0.2">
      <c r="B64" s="711"/>
      <c r="C64" s="712"/>
      <c r="D64" s="712"/>
      <c r="E64" s="712"/>
      <c r="F64" s="712"/>
      <c r="G64" s="712"/>
      <c r="H64" s="712"/>
      <c r="I64" s="712"/>
      <c r="J64" s="712"/>
      <c r="K64" s="712"/>
      <c r="L64" s="712"/>
      <c r="M64" s="712"/>
      <c r="N64" s="712"/>
      <c r="O64" s="712"/>
      <c r="P64" s="712"/>
      <c r="Q64" s="712"/>
      <c r="R64" s="713"/>
    </row>
    <row r="65" spans="2:18" x14ac:dyDescent="0.2">
      <c r="B65" s="711"/>
      <c r="C65" s="712"/>
      <c r="D65" s="712"/>
      <c r="E65" s="712"/>
      <c r="F65" s="712"/>
      <c r="G65" s="712"/>
      <c r="H65" s="712"/>
      <c r="I65" s="712"/>
      <c r="J65" s="712"/>
      <c r="K65" s="712"/>
      <c r="L65" s="712"/>
      <c r="M65" s="712"/>
      <c r="N65" s="712"/>
      <c r="O65" s="712"/>
      <c r="P65" s="712"/>
      <c r="Q65" s="712"/>
      <c r="R65" s="713"/>
    </row>
    <row r="66" spans="2:18" x14ac:dyDescent="0.2">
      <c r="B66" s="711"/>
      <c r="C66" s="712"/>
      <c r="D66" s="712"/>
      <c r="E66" s="712"/>
      <c r="F66" s="712"/>
      <c r="G66" s="712"/>
      <c r="H66" s="712"/>
      <c r="I66" s="712"/>
      <c r="J66" s="712"/>
      <c r="K66" s="712"/>
      <c r="L66" s="712"/>
      <c r="M66" s="712"/>
      <c r="N66" s="712"/>
      <c r="O66" s="712"/>
      <c r="P66" s="712"/>
      <c r="Q66" s="712"/>
      <c r="R66" s="713"/>
    </row>
    <row r="67" spans="2:18" x14ac:dyDescent="0.2">
      <c r="B67" s="711"/>
      <c r="C67" s="712"/>
      <c r="D67" s="712"/>
      <c r="E67" s="712"/>
      <c r="F67" s="712"/>
      <c r="G67" s="712"/>
      <c r="H67" s="712"/>
      <c r="I67" s="712"/>
      <c r="J67" s="712"/>
      <c r="K67" s="712"/>
      <c r="L67" s="712"/>
      <c r="M67" s="712"/>
      <c r="N67" s="712"/>
      <c r="O67" s="712"/>
      <c r="P67" s="712"/>
      <c r="Q67" s="712"/>
      <c r="R67" s="713"/>
    </row>
    <row r="68" spans="2:18" x14ac:dyDescent="0.2">
      <c r="B68" s="711"/>
      <c r="C68" s="712"/>
      <c r="D68" s="712"/>
      <c r="E68" s="712"/>
      <c r="F68" s="712"/>
      <c r="G68" s="712"/>
      <c r="H68" s="712"/>
      <c r="I68" s="712"/>
      <c r="J68" s="712"/>
      <c r="K68" s="712"/>
      <c r="L68" s="712"/>
      <c r="M68" s="712"/>
      <c r="N68" s="712"/>
      <c r="O68" s="712"/>
      <c r="P68" s="712"/>
      <c r="Q68" s="712"/>
      <c r="R68" s="713"/>
    </row>
    <row r="69" spans="2:18" x14ac:dyDescent="0.2">
      <c r="B69" s="711"/>
      <c r="C69" s="712"/>
      <c r="D69" s="712"/>
      <c r="E69" s="712"/>
      <c r="F69" s="712"/>
      <c r="G69" s="712"/>
      <c r="H69" s="712"/>
      <c r="I69" s="712"/>
      <c r="J69" s="712"/>
      <c r="K69" s="712"/>
      <c r="L69" s="712"/>
      <c r="M69" s="712"/>
      <c r="N69" s="712"/>
      <c r="O69" s="712"/>
      <c r="P69" s="712"/>
      <c r="Q69" s="712"/>
      <c r="R69" s="713"/>
    </row>
    <row r="70" spans="2:18" x14ac:dyDescent="0.2">
      <c r="B70" s="711"/>
      <c r="C70" s="712"/>
      <c r="D70" s="712"/>
      <c r="E70" s="712"/>
      <c r="F70" s="712"/>
      <c r="G70" s="712"/>
      <c r="H70" s="712"/>
      <c r="I70" s="712"/>
      <c r="J70" s="712"/>
      <c r="K70" s="712"/>
      <c r="L70" s="712"/>
      <c r="M70" s="712"/>
      <c r="N70" s="712"/>
      <c r="O70" s="712"/>
      <c r="P70" s="712"/>
      <c r="Q70" s="712"/>
      <c r="R70" s="713"/>
    </row>
    <row r="71" spans="2:18" x14ac:dyDescent="0.2">
      <c r="B71" s="711"/>
      <c r="C71" s="712"/>
      <c r="D71" s="712"/>
      <c r="E71" s="712"/>
      <c r="F71" s="712"/>
      <c r="G71" s="712"/>
      <c r="H71" s="712"/>
      <c r="I71" s="712"/>
      <c r="J71" s="712"/>
      <c r="K71" s="712"/>
      <c r="L71" s="712"/>
      <c r="M71" s="712"/>
      <c r="N71" s="712"/>
      <c r="O71" s="712"/>
      <c r="P71" s="712"/>
      <c r="Q71" s="712"/>
      <c r="R71" s="713"/>
    </row>
    <row r="72" spans="2:18" x14ac:dyDescent="0.2">
      <c r="B72" s="711"/>
      <c r="C72" s="712"/>
      <c r="D72" s="712"/>
      <c r="E72" s="712"/>
      <c r="F72" s="712"/>
      <c r="G72" s="712"/>
      <c r="H72" s="712"/>
      <c r="I72" s="712"/>
      <c r="J72" s="712"/>
      <c r="K72" s="712"/>
      <c r="L72" s="712"/>
      <c r="M72" s="712"/>
      <c r="N72" s="712"/>
      <c r="O72" s="712"/>
      <c r="P72" s="712"/>
      <c r="Q72" s="712"/>
      <c r="R72" s="713"/>
    </row>
    <row r="73" spans="2:18" x14ac:dyDescent="0.2">
      <c r="B73" s="711"/>
      <c r="C73" s="712"/>
      <c r="D73" s="712"/>
      <c r="E73" s="712"/>
      <c r="F73" s="712"/>
      <c r="G73" s="712"/>
      <c r="H73" s="712"/>
      <c r="I73" s="712"/>
      <c r="J73" s="712"/>
      <c r="K73" s="712"/>
      <c r="L73" s="712"/>
      <c r="M73" s="712"/>
      <c r="N73" s="712"/>
      <c r="O73" s="712"/>
      <c r="P73" s="712"/>
      <c r="Q73" s="712"/>
      <c r="R73" s="713"/>
    </row>
    <row r="74" spans="2:18" x14ac:dyDescent="0.2">
      <c r="B74" s="711"/>
      <c r="C74" s="712"/>
      <c r="D74" s="712"/>
      <c r="E74" s="712"/>
      <c r="F74" s="712"/>
      <c r="G74" s="712"/>
      <c r="H74" s="712"/>
      <c r="I74" s="712"/>
      <c r="J74" s="712"/>
      <c r="K74" s="712"/>
      <c r="L74" s="712"/>
      <c r="M74" s="712"/>
      <c r="N74" s="712"/>
      <c r="O74" s="712"/>
      <c r="P74" s="712"/>
      <c r="Q74" s="712"/>
      <c r="R74" s="713"/>
    </row>
    <row r="75" spans="2:18" x14ac:dyDescent="0.2">
      <c r="B75" s="711"/>
      <c r="C75" s="712"/>
      <c r="D75" s="712"/>
      <c r="E75" s="712"/>
      <c r="F75" s="712"/>
      <c r="G75" s="712"/>
      <c r="H75" s="712"/>
      <c r="I75" s="712"/>
      <c r="J75" s="712"/>
      <c r="K75" s="712"/>
      <c r="L75" s="712"/>
      <c r="M75" s="712"/>
      <c r="N75" s="712"/>
      <c r="O75" s="712"/>
      <c r="P75" s="712"/>
      <c r="Q75" s="712"/>
      <c r="R75" s="713"/>
    </row>
    <row r="76" spans="2:18" x14ac:dyDescent="0.2">
      <c r="B76" s="711"/>
      <c r="C76" s="712"/>
      <c r="D76" s="712"/>
      <c r="E76" s="712"/>
      <c r="F76" s="712"/>
      <c r="G76" s="712"/>
      <c r="H76" s="712"/>
      <c r="I76" s="712"/>
      <c r="J76" s="712"/>
      <c r="K76" s="712"/>
      <c r="L76" s="712"/>
      <c r="M76" s="712"/>
      <c r="N76" s="712"/>
      <c r="O76" s="712"/>
      <c r="P76" s="712"/>
      <c r="Q76" s="712"/>
      <c r="R76" s="713"/>
    </row>
    <row r="77" spans="2:18" x14ac:dyDescent="0.2">
      <c r="B77" s="711"/>
      <c r="C77" s="712"/>
      <c r="D77" s="712"/>
      <c r="E77" s="712"/>
      <c r="F77" s="712"/>
      <c r="G77" s="712"/>
      <c r="H77" s="712"/>
      <c r="I77" s="712"/>
      <c r="J77" s="712"/>
      <c r="K77" s="712"/>
      <c r="L77" s="712"/>
      <c r="M77" s="712"/>
      <c r="N77" s="712"/>
      <c r="O77" s="712"/>
      <c r="P77" s="712"/>
      <c r="Q77" s="712"/>
      <c r="R77" s="713"/>
    </row>
    <row r="78" spans="2:18" x14ac:dyDescent="0.2">
      <c r="B78" s="711"/>
      <c r="C78" s="712"/>
      <c r="D78" s="712"/>
      <c r="E78" s="712"/>
      <c r="F78" s="712"/>
      <c r="G78" s="712"/>
      <c r="H78" s="712"/>
      <c r="I78" s="712"/>
      <c r="J78" s="712"/>
      <c r="K78" s="712"/>
      <c r="L78" s="712"/>
      <c r="M78" s="712"/>
      <c r="N78" s="712"/>
      <c r="O78" s="712"/>
      <c r="P78" s="712"/>
      <c r="Q78" s="712"/>
      <c r="R78" s="713"/>
    </row>
    <row r="79" spans="2:18" x14ac:dyDescent="0.2">
      <c r="B79" s="711"/>
      <c r="C79" s="712"/>
      <c r="D79" s="712"/>
      <c r="E79" s="712"/>
      <c r="F79" s="712"/>
      <c r="G79" s="712"/>
      <c r="H79" s="712"/>
      <c r="I79" s="712"/>
      <c r="J79" s="712"/>
      <c r="K79" s="712"/>
      <c r="L79" s="712"/>
      <c r="M79" s="712"/>
      <c r="N79" s="712"/>
      <c r="O79" s="712"/>
      <c r="P79" s="712"/>
      <c r="Q79" s="712"/>
      <c r="R79" s="713"/>
    </row>
    <row r="80" spans="2:18" x14ac:dyDescent="0.2">
      <c r="B80" s="711"/>
      <c r="C80" s="712"/>
      <c r="D80" s="712"/>
      <c r="E80" s="712"/>
      <c r="F80" s="712"/>
      <c r="G80" s="712"/>
      <c r="H80" s="712"/>
      <c r="I80" s="712"/>
      <c r="J80" s="712"/>
      <c r="K80" s="712"/>
      <c r="L80" s="712"/>
      <c r="M80" s="712"/>
      <c r="N80" s="712"/>
      <c r="O80" s="712"/>
      <c r="P80" s="712"/>
      <c r="Q80" s="712"/>
      <c r="R80" s="713"/>
    </row>
    <row r="81" spans="2:18" x14ac:dyDescent="0.2">
      <c r="B81" s="711"/>
      <c r="C81" s="712"/>
      <c r="D81" s="712"/>
      <c r="E81" s="712"/>
      <c r="F81" s="712"/>
      <c r="G81" s="712"/>
      <c r="H81" s="712"/>
      <c r="I81" s="712"/>
      <c r="J81" s="712"/>
      <c r="K81" s="712"/>
      <c r="L81" s="712"/>
      <c r="M81" s="712"/>
      <c r="N81" s="712"/>
      <c r="O81" s="712"/>
      <c r="P81" s="712"/>
      <c r="Q81" s="712"/>
      <c r="R81" s="713"/>
    </row>
    <row r="82" spans="2:18" x14ac:dyDescent="0.2">
      <c r="B82" s="711"/>
      <c r="C82" s="712"/>
      <c r="D82" s="712"/>
      <c r="E82" s="712"/>
      <c r="F82" s="712"/>
      <c r="G82" s="712"/>
      <c r="H82" s="712"/>
      <c r="I82" s="712"/>
      <c r="J82" s="712"/>
      <c r="K82" s="712"/>
      <c r="L82" s="712"/>
      <c r="M82" s="712"/>
      <c r="N82" s="712"/>
      <c r="O82" s="712"/>
      <c r="P82" s="712"/>
      <c r="Q82" s="712"/>
      <c r="R82" s="713"/>
    </row>
    <row r="83" spans="2:18" x14ac:dyDescent="0.2">
      <c r="B83" s="711"/>
      <c r="C83" s="712"/>
      <c r="D83" s="712"/>
      <c r="E83" s="712"/>
      <c r="F83" s="712"/>
      <c r="G83" s="712"/>
      <c r="H83" s="712"/>
      <c r="I83" s="712"/>
      <c r="J83" s="712"/>
      <c r="K83" s="712"/>
      <c r="L83" s="712"/>
      <c r="M83" s="712"/>
      <c r="N83" s="712"/>
      <c r="O83" s="712"/>
      <c r="P83" s="712"/>
      <c r="Q83" s="712"/>
      <c r="R83" s="713"/>
    </row>
    <row r="84" spans="2:18" x14ac:dyDescent="0.2">
      <c r="B84" s="711"/>
      <c r="C84" s="712"/>
      <c r="D84" s="712"/>
      <c r="E84" s="712"/>
      <c r="F84" s="712"/>
      <c r="G84" s="712"/>
      <c r="H84" s="712"/>
      <c r="I84" s="712"/>
      <c r="J84" s="712"/>
      <c r="K84" s="712"/>
      <c r="L84" s="712"/>
      <c r="M84" s="712"/>
      <c r="N84" s="712"/>
      <c r="O84" s="712"/>
      <c r="P84" s="712"/>
      <c r="Q84" s="712"/>
      <c r="R84" s="713"/>
    </row>
    <row r="85" spans="2:18" x14ac:dyDescent="0.2">
      <c r="B85" s="711"/>
      <c r="C85" s="712"/>
      <c r="D85" s="712"/>
      <c r="E85" s="712"/>
      <c r="F85" s="712"/>
      <c r="G85" s="712"/>
      <c r="H85" s="712"/>
      <c r="I85" s="712"/>
      <c r="J85" s="712"/>
      <c r="K85" s="712"/>
      <c r="L85" s="712"/>
      <c r="M85" s="712"/>
      <c r="N85" s="712"/>
      <c r="O85" s="712"/>
      <c r="P85" s="712"/>
      <c r="Q85" s="712"/>
      <c r="R85" s="713"/>
    </row>
    <row r="86" spans="2:18" x14ac:dyDescent="0.2">
      <c r="B86" s="711"/>
      <c r="C86" s="712"/>
      <c r="D86" s="712"/>
      <c r="E86" s="712"/>
      <c r="F86" s="712"/>
      <c r="G86" s="712"/>
      <c r="H86" s="712"/>
      <c r="I86" s="712"/>
      <c r="J86" s="712"/>
      <c r="K86" s="712"/>
      <c r="L86" s="712"/>
      <c r="M86" s="712"/>
      <c r="N86" s="712"/>
      <c r="O86" s="712"/>
      <c r="P86" s="712"/>
      <c r="Q86" s="712"/>
      <c r="R86" s="713"/>
    </row>
    <row r="87" spans="2:18" x14ac:dyDescent="0.2">
      <c r="B87" s="711"/>
      <c r="C87" s="712"/>
      <c r="D87" s="712"/>
      <c r="E87" s="712"/>
      <c r="F87" s="712"/>
      <c r="G87" s="712"/>
      <c r="H87" s="712"/>
      <c r="I87" s="712"/>
      <c r="J87" s="712"/>
      <c r="K87" s="712"/>
      <c r="L87" s="712"/>
      <c r="M87" s="712"/>
      <c r="N87" s="712"/>
      <c r="O87" s="712"/>
      <c r="P87" s="712"/>
      <c r="Q87" s="712"/>
      <c r="R87" s="713"/>
    </row>
    <row r="88" spans="2:18" x14ac:dyDescent="0.2">
      <c r="B88" s="711"/>
      <c r="C88" s="712"/>
      <c r="D88" s="712"/>
      <c r="E88" s="712"/>
      <c r="F88" s="712"/>
      <c r="G88" s="712"/>
      <c r="H88" s="712"/>
      <c r="I88" s="712"/>
      <c r="J88" s="712"/>
      <c r="K88" s="712"/>
      <c r="L88" s="712"/>
      <c r="M88" s="712"/>
      <c r="N88" s="712"/>
      <c r="O88" s="712"/>
      <c r="P88" s="712"/>
      <c r="Q88" s="712"/>
      <c r="R88" s="713"/>
    </row>
    <row r="89" spans="2:18" x14ac:dyDescent="0.2">
      <c r="B89" s="711"/>
      <c r="C89" s="712"/>
      <c r="D89" s="712"/>
      <c r="E89" s="712"/>
      <c r="F89" s="712"/>
      <c r="G89" s="712"/>
      <c r="H89" s="712"/>
      <c r="I89" s="712"/>
      <c r="J89" s="712"/>
      <c r="K89" s="712"/>
      <c r="L89" s="712"/>
      <c r="M89" s="712"/>
      <c r="N89" s="712"/>
      <c r="O89" s="712"/>
      <c r="P89" s="712"/>
      <c r="Q89" s="712"/>
      <c r="R89" s="713"/>
    </row>
    <row r="90" spans="2:18" x14ac:dyDescent="0.2">
      <c r="B90" s="711"/>
      <c r="C90" s="712"/>
      <c r="D90" s="712"/>
      <c r="E90" s="712"/>
      <c r="F90" s="712"/>
      <c r="G90" s="712"/>
      <c r="H90" s="712"/>
      <c r="I90" s="712"/>
      <c r="J90" s="712"/>
      <c r="K90" s="712"/>
      <c r="L90" s="712"/>
      <c r="M90" s="712"/>
      <c r="N90" s="712"/>
      <c r="O90" s="712"/>
      <c r="P90" s="712"/>
      <c r="Q90" s="712"/>
      <c r="R90" s="713"/>
    </row>
    <row r="91" spans="2:18" x14ac:dyDescent="0.2">
      <c r="B91" s="711"/>
      <c r="C91" s="712"/>
      <c r="D91" s="712"/>
      <c r="E91" s="712"/>
      <c r="F91" s="712"/>
      <c r="G91" s="712"/>
      <c r="H91" s="712"/>
      <c r="I91" s="712"/>
      <c r="J91" s="712"/>
      <c r="K91" s="712"/>
      <c r="L91" s="712"/>
      <c r="M91" s="712"/>
      <c r="N91" s="712"/>
      <c r="O91" s="712"/>
      <c r="P91" s="712"/>
      <c r="Q91" s="712"/>
      <c r="R91" s="713"/>
    </row>
    <row r="92" spans="2:18" x14ac:dyDescent="0.2">
      <c r="B92" s="711"/>
      <c r="C92" s="712"/>
      <c r="D92" s="712"/>
      <c r="E92" s="712"/>
      <c r="F92" s="712"/>
      <c r="G92" s="712"/>
      <c r="H92" s="712"/>
      <c r="I92" s="712"/>
      <c r="J92" s="712"/>
      <c r="K92" s="712"/>
      <c r="L92" s="712"/>
      <c r="M92" s="712"/>
      <c r="N92" s="712"/>
      <c r="O92" s="712"/>
      <c r="P92" s="712"/>
      <c r="Q92" s="712"/>
      <c r="R92" s="713"/>
    </row>
    <row r="93" spans="2:18" x14ac:dyDescent="0.2">
      <c r="B93" s="711"/>
      <c r="C93" s="712"/>
      <c r="D93" s="712"/>
      <c r="E93" s="712"/>
      <c r="F93" s="712"/>
      <c r="G93" s="712"/>
      <c r="H93" s="712"/>
      <c r="I93" s="712"/>
      <c r="J93" s="712"/>
      <c r="K93" s="712"/>
      <c r="L93" s="712"/>
      <c r="M93" s="712"/>
      <c r="N93" s="712"/>
      <c r="O93" s="712"/>
      <c r="P93" s="712"/>
      <c r="Q93" s="712"/>
      <c r="R93" s="713"/>
    </row>
    <row r="94" spans="2:18" x14ac:dyDescent="0.2">
      <c r="B94" s="711"/>
      <c r="C94" s="712"/>
      <c r="D94" s="712"/>
      <c r="E94" s="712"/>
      <c r="F94" s="712"/>
      <c r="G94" s="712"/>
      <c r="H94" s="712"/>
      <c r="I94" s="712"/>
      <c r="J94" s="712"/>
      <c r="K94" s="712"/>
      <c r="L94" s="712"/>
      <c r="M94" s="712"/>
      <c r="N94" s="712"/>
      <c r="O94" s="712"/>
      <c r="P94" s="712"/>
      <c r="Q94" s="712"/>
      <c r="R94" s="713"/>
    </row>
    <row r="95" spans="2:18" x14ac:dyDescent="0.2">
      <c r="B95" s="720"/>
      <c r="C95" s="721"/>
      <c r="D95" s="721"/>
      <c r="E95" s="721"/>
      <c r="F95" s="721"/>
      <c r="G95" s="721"/>
      <c r="H95" s="721"/>
      <c r="I95" s="721"/>
      <c r="J95" s="721"/>
      <c r="K95" s="721"/>
      <c r="L95" s="721"/>
      <c r="M95" s="721"/>
      <c r="N95" s="721"/>
      <c r="O95" s="721"/>
      <c r="P95" s="721"/>
      <c r="Q95" s="845" t="s">
        <v>429</v>
      </c>
      <c r="R95" s="722"/>
    </row>
    <row r="96" spans="2:18" x14ac:dyDescent="0.2">
      <c r="B96" s="708"/>
      <c r="C96" s="709"/>
      <c r="D96" s="709"/>
      <c r="E96" s="709"/>
      <c r="F96" s="709"/>
      <c r="G96" s="709"/>
      <c r="H96" s="709"/>
      <c r="I96" s="709"/>
      <c r="J96" s="709"/>
      <c r="K96" s="709"/>
      <c r="L96" s="709"/>
      <c r="M96" s="709"/>
      <c r="N96" s="709"/>
      <c r="O96" s="709"/>
      <c r="P96" s="709"/>
      <c r="Q96" s="709"/>
      <c r="R96" s="710"/>
    </row>
    <row r="97" spans="2:18" x14ac:dyDescent="0.2">
      <c r="B97" s="711"/>
      <c r="C97" s="712"/>
      <c r="D97" s="712"/>
      <c r="E97" s="712"/>
      <c r="F97" s="712"/>
      <c r="G97" s="712"/>
      <c r="H97" s="712"/>
      <c r="I97" s="712"/>
      <c r="J97" s="712"/>
      <c r="K97" s="712"/>
      <c r="L97" s="712"/>
      <c r="M97" s="712"/>
      <c r="N97" s="712"/>
      <c r="O97" s="712"/>
      <c r="P97" s="712"/>
      <c r="Q97" s="712"/>
      <c r="R97" s="713"/>
    </row>
    <row r="98" spans="2:18" x14ac:dyDescent="0.2">
      <c r="B98" s="711"/>
      <c r="C98" s="712"/>
      <c r="D98" s="712"/>
      <c r="E98" s="712"/>
      <c r="F98" s="712"/>
      <c r="G98" s="712"/>
      <c r="H98" s="712"/>
      <c r="I98" s="712"/>
      <c r="J98" s="712"/>
      <c r="K98" s="712"/>
      <c r="L98" s="712"/>
      <c r="M98" s="712"/>
      <c r="N98" s="712"/>
      <c r="O98" s="712"/>
      <c r="P98" s="712"/>
      <c r="Q98" s="712"/>
      <c r="R98" s="713"/>
    </row>
    <row r="99" spans="2:18" x14ac:dyDescent="0.2">
      <c r="B99" s="711"/>
      <c r="C99" s="712"/>
      <c r="D99" s="712"/>
      <c r="E99" s="712"/>
      <c r="F99" s="712"/>
      <c r="G99" s="712"/>
      <c r="H99" s="712"/>
      <c r="I99" s="712"/>
      <c r="J99" s="712"/>
      <c r="K99" s="712"/>
      <c r="L99" s="712"/>
      <c r="M99" s="712"/>
      <c r="N99" s="712"/>
      <c r="O99" s="712"/>
      <c r="P99" s="712"/>
      <c r="Q99" s="712"/>
      <c r="R99" s="713"/>
    </row>
    <row r="100" spans="2:18" x14ac:dyDescent="0.2">
      <c r="B100" s="711"/>
      <c r="C100" s="712"/>
      <c r="D100" s="712"/>
      <c r="E100" s="712"/>
      <c r="F100" s="712"/>
      <c r="G100" s="712"/>
      <c r="H100" s="712"/>
      <c r="I100" s="712"/>
      <c r="J100" s="712"/>
      <c r="K100" s="712"/>
      <c r="L100" s="712"/>
      <c r="M100" s="712"/>
      <c r="N100" s="712"/>
      <c r="O100" s="712"/>
      <c r="P100" s="712"/>
      <c r="Q100" s="712"/>
      <c r="R100" s="713"/>
    </row>
    <row r="101" spans="2:18" x14ac:dyDescent="0.2">
      <c r="B101" s="711"/>
      <c r="C101" s="712"/>
      <c r="D101" s="712"/>
      <c r="E101" s="712"/>
      <c r="F101" s="712"/>
      <c r="G101" s="712"/>
      <c r="H101" s="712"/>
      <c r="I101" s="712"/>
      <c r="J101" s="712"/>
      <c r="K101" s="712"/>
      <c r="L101" s="712"/>
      <c r="M101" s="712"/>
      <c r="N101" s="712"/>
      <c r="O101" s="712"/>
      <c r="P101" s="712"/>
      <c r="Q101" s="712"/>
      <c r="R101" s="713"/>
    </row>
    <row r="102" spans="2:18" x14ac:dyDescent="0.2">
      <c r="B102" s="711"/>
      <c r="C102" s="712"/>
      <c r="D102" s="712"/>
      <c r="E102" s="712"/>
      <c r="F102" s="712"/>
      <c r="G102" s="712"/>
      <c r="H102" s="712"/>
      <c r="I102" s="712"/>
      <c r="J102" s="712"/>
      <c r="K102" s="712"/>
      <c r="L102" s="712"/>
      <c r="M102" s="712"/>
      <c r="N102" s="712"/>
      <c r="O102" s="712"/>
      <c r="P102" s="712"/>
      <c r="Q102" s="712"/>
      <c r="R102" s="713"/>
    </row>
    <row r="103" spans="2:18" x14ac:dyDescent="0.2">
      <c r="B103" s="711"/>
      <c r="C103" s="712"/>
      <c r="D103" s="712"/>
      <c r="E103" s="712"/>
      <c r="F103" s="712"/>
      <c r="G103" s="712"/>
      <c r="H103" s="712"/>
      <c r="I103" s="712"/>
      <c r="J103" s="712"/>
      <c r="K103" s="712"/>
      <c r="L103" s="712"/>
      <c r="M103" s="712"/>
      <c r="N103" s="712"/>
      <c r="O103" s="712"/>
      <c r="P103" s="712"/>
      <c r="Q103" s="712"/>
      <c r="R103" s="713"/>
    </row>
    <row r="104" spans="2:18" x14ac:dyDescent="0.2">
      <c r="B104" s="711"/>
      <c r="C104" s="712"/>
      <c r="D104" s="712"/>
      <c r="E104" s="712"/>
      <c r="F104" s="712"/>
      <c r="G104" s="712"/>
      <c r="H104" s="712"/>
      <c r="I104" s="712"/>
      <c r="J104" s="712"/>
      <c r="K104" s="712"/>
      <c r="L104" s="712"/>
      <c r="M104" s="712"/>
      <c r="N104" s="712"/>
      <c r="O104" s="712"/>
      <c r="P104" s="712"/>
      <c r="Q104" s="712"/>
      <c r="R104" s="713"/>
    </row>
    <row r="105" spans="2:18" x14ac:dyDescent="0.2">
      <c r="B105" s="711"/>
      <c r="C105" s="712"/>
      <c r="D105" s="712"/>
      <c r="E105" s="712"/>
      <c r="F105" s="712"/>
      <c r="G105" s="712"/>
      <c r="H105" s="712"/>
      <c r="I105" s="712"/>
      <c r="J105" s="712"/>
      <c r="K105" s="712"/>
      <c r="L105" s="712"/>
      <c r="M105" s="712"/>
      <c r="N105" s="712"/>
      <c r="O105" s="712"/>
      <c r="P105" s="712"/>
      <c r="Q105" s="712"/>
      <c r="R105" s="713"/>
    </row>
    <row r="106" spans="2:18" x14ac:dyDescent="0.2">
      <c r="B106" s="711"/>
      <c r="C106" s="712"/>
      <c r="D106" s="712"/>
      <c r="E106" s="712"/>
      <c r="F106" s="712"/>
      <c r="G106" s="712"/>
      <c r="H106" s="712"/>
      <c r="I106" s="712"/>
      <c r="J106" s="712"/>
      <c r="K106" s="712"/>
      <c r="L106" s="712"/>
      <c r="M106" s="712"/>
      <c r="N106" s="712"/>
      <c r="O106" s="712"/>
      <c r="P106" s="712"/>
      <c r="Q106" s="712"/>
      <c r="R106" s="713"/>
    </row>
    <row r="107" spans="2:18" x14ac:dyDescent="0.2">
      <c r="B107" s="711"/>
      <c r="C107" s="712"/>
      <c r="D107" s="712"/>
      <c r="E107" s="712"/>
      <c r="F107" s="712"/>
      <c r="G107" s="712"/>
      <c r="H107" s="712"/>
      <c r="I107" s="712"/>
      <c r="J107" s="712"/>
      <c r="K107" s="712"/>
      <c r="L107" s="712"/>
      <c r="M107" s="712"/>
      <c r="N107" s="712"/>
      <c r="O107" s="712"/>
      <c r="P107" s="712"/>
      <c r="Q107" s="712"/>
      <c r="R107" s="713"/>
    </row>
    <row r="108" spans="2:18" x14ac:dyDescent="0.2">
      <c r="B108" s="711"/>
      <c r="C108" s="712"/>
      <c r="D108" s="712"/>
      <c r="E108" s="712"/>
      <c r="F108" s="712"/>
      <c r="G108" s="712"/>
      <c r="H108" s="712"/>
      <c r="I108" s="712"/>
      <c r="J108" s="712"/>
      <c r="K108" s="712"/>
      <c r="L108" s="712"/>
      <c r="M108" s="712"/>
      <c r="N108" s="712"/>
      <c r="O108" s="712"/>
      <c r="P108" s="712"/>
      <c r="Q108" s="712"/>
      <c r="R108" s="713"/>
    </row>
    <row r="109" spans="2:18" x14ac:dyDescent="0.2">
      <c r="B109" s="711"/>
      <c r="C109" s="712"/>
      <c r="D109" s="712"/>
      <c r="E109" s="712"/>
      <c r="F109" s="712"/>
      <c r="G109" s="712"/>
      <c r="H109" s="712"/>
      <c r="I109" s="712"/>
      <c r="J109" s="712"/>
      <c r="K109" s="712"/>
      <c r="L109" s="712"/>
      <c r="M109" s="712"/>
      <c r="N109" s="712"/>
      <c r="O109" s="712"/>
      <c r="P109" s="712"/>
      <c r="Q109" s="712"/>
      <c r="R109" s="713"/>
    </row>
    <row r="110" spans="2:18" x14ac:dyDescent="0.2">
      <c r="B110" s="711"/>
      <c r="C110" s="712"/>
      <c r="D110" s="712"/>
      <c r="E110" s="712"/>
      <c r="F110" s="712"/>
      <c r="G110" s="712"/>
      <c r="H110" s="712"/>
      <c r="I110" s="712"/>
      <c r="J110" s="712"/>
      <c r="K110" s="712"/>
      <c r="L110" s="712"/>
      <c r="M110" s="712"/>
      <c r="N110" s="712"/>
      <c r="O110" s="712"/>
      <c r="P110" s="712"/>
      <c r="Q110" s="712"/>
      <c r="R110" s="713"/>
    </row>
    <row r="111" spans="2:18" x14ac:dyDescent="0.2">
      <c r="B111" s="711"/>
      <c r="C111" s="712"/>
      <c r="D111" s="712"/>
      <c r="E111" s="712"/>
      <c r="F111" s="712"/>
      <c r="G111" s="712"/>
      <c r="H111" s="712"/>
      <c r="I111" s="712"/>
      <c r="J111" s="712"/>
      <c r="K111" s="712"/>
      <c r="L111" s="712"/>
      <c r="M111" s="712"/>
      <c r="N111" s="712"/>
      <c r="O111" s="712"/>
      <c r="P111" s="712"/>
      <c r="Q111" s="712"/>
      <c r="R111" s="713"/>
    </row>
    <row r="112" spans="2:18" x14ac:dyDescent="0.2">
      <c r="B112" s="711"/>
      <c r="C112" s="712"/>
      <c r="D112" s="712"/>
      <c r="E112" s="712"/>
      <c r="F112" s="712"/>
      <c r="G112" s="712"/>
      <c r="H112" s="712"/>
      <c r="I112" s="712"/>
      <c r="J112" s="712"/>
      <c r="K112" s="712"/>
      <c r="L112" s="712"/>
      <c r="M112" s="712"/>
      <c r="N112" s="712"/>
      <c r="O112" s="712"/>
      <c r="P112" s="712"/>
      <c r="Q112" s="712"/>
      <c r="R112" s="713"/>
    </row>
    <row r="113" spans="2:18" x14ac:dyDescent="0.2">
      <c r="B113" s="711"/>
      <c r="C113" s="712"/>
      <c r="D113" s="712"/>
      <c r="E113" s="712"/>
      <c r="F113" s="712"/>
      <c r="G113" s="712"/>
      <c r="H113" s="712"/>
      <c r="I113" s="712"/>
      <c r="J113" s="712"/>
      <c r="K113" s="712"/>
      <c r="L113" s="712"/>
      <c r="M113" s="712"/>
      <c r="N113" s="712"/>
      <c r="O113" s="712"/>
      <c r="P113" s="712"/>
      <c r="Q113" s="712"/>
      <c r="R113" s="713"/>
    </row>
    <row r="114" spans="2:18" x14ac:dyDescent="0.2">
      <c r="B114" s="711"/>
      <c r="C114" s="712"/>
      <c r="D114" s="712"/>
      <c r="E114" s="712"/>
      <c r="F114" s="712"/>
      <c r="G114" s="712"/>
      <c r="H114" s="712"/>
      <c r="I114" s="712"/>
      <c r="J114" s="712"/>
      <c r="K114" s="712"/>
      <c r="L114" s="712"/>
      <c r="M114" s="712"/>
      <c r="N114" s="712"/>
      <c r="O114" s="712"/>
      <c r="P114" s="712"/>
      <c r="Q114" s="712"/>
      <c r="R114" s="713"/>
    </row>
    <row r="115" spans="2:18" x14ac:dyDescent="0.2">
      <c r="B115" s="711"/>
      <c r="C115" s="712"/>
      <c r="D115" s="712"/>
      <c r="E115" s="712"/>
      <c r="F115" s="712"/>
      <c r="G115" s="712"/>
      <c r="H115" s="712"/>
      <c r="I115" s="712"/>
      <c r="J115" s="712"/>
      <c r="K115" s="712"/>
      <c r="L115" s="712"/>
      <c r="M115" s="712"/>
      <c r="N115" s="712"/>
      <c r="O115" s="712"/>
      <c r="P115" s="712"/>
      <c r="Q115" s="712"/>
      <c r="R115" s="713"/>
    </row>
    <row r="116" spans="2:18" x14ac:dyDescent="0.2">
      <c r="B116" s="711"/>
      <c r="C116" s="712"/>
      <c r="D116" s="712"/>
      <c r="E116" s="712"/>
      <c r="F116" s="712"/>
      <c r="G116" s="712"/>
      <c r="H116" s="712"/>
      <c r="I116" s="712"/>
      <c r="J116" s="712"/>
      <c r="K116" s="712"/>
      <c r="L116" s="712"/>
      <c r="M116" s="712"/>
      <c r="N116" s="712"/>
      <c r="O116" s="712"/>
      <c r="P116" s="712"/>
      <c r="Q116" s="712"/>
      <c r="R116" s="713"/>
    </row>
    <row r="117" spans="2:18" x14ac:dyDescent="0.2">
      <c r="B117" s="711"/>
      <c r="C117" s="712"/>
      <c r="D117" s="712"/>
      <c r="E117" s="712"/>
      <c r="F117" s="712"/>
      <c r="G117" s="712"/>
      <c r="H117" s="712"/>
      <c r="I117" s="712"/>
      <c r="J117" s="712"/>
      <c r="K117" s="712"/>
      <c r="L117" s="712"/>
      <c r="M117" s="712"/>
      <c r="N117" s="712"/>
      <c r="O117" s="712"/>
      <c r="P117" s="712"/>
      <c r="Q117" s="712"/>
      <c r="R117" s="713"/>
    </row>
    <row r="118" spans="2:18" x14ac:dyDescent="0.2">
      <c r="B118" s="711"/>
      <c r="C118" s="712"/>
      <c r="D118" s="712"/>
      <c r="E118" s="712"/>
      <c r="F118" s="712"/>
      <c r="G118" s="712"/>
      <c r="H118" s="712"/>
      <c r="I118" s="712"/>
      <c r="J118" s="712"/>
      <c r="K118" s="712"/>
      <c r="L118" s="712"/>
      <c r="M118" s="712"/>
      <c r="N118" s="712"/>
      <c r="O118" s="712"/>
      <c r="P118" s="712"/>
      <c r="Q118" s="712"/>
      <c r="R118" s="713"/>
    </row>
    <row r="119" spans="2:18" x14ac:dyDescent="0.2">
      <c r="B119" s="711"/>
      <c r="C119" s="712"/>
      <c r="D119" s="712"/>
      <c r="E119" s="712"/>
      <c r="F119" s="712"/>
      <c r="G119" s="712"/>
      <c r="H119" s="712"/>
      <c r="I119" s="712"/>
      <c r="J119" s="712"/>
      <c r="K119" s="712"/>
      <c r="L119" s="712"/>
      <c r="M119" s="712"/>
      <c r="N119" s="712"/>
      <c r="O119" s="712"/>
      <c r="P119" s="712"/>
      <c r="Q119" s="712"/>
      <c r="R119" s="713"/>
    </row>
    <row r="120" spans="2:18" x14ac:dyDescent="0.2">
      <c r="B120" s="711"/>
      <c r="C120" s="712"/>
      <c r="D120" s="712"/>
      <c r="E120" s="712"/>
      <c r="F120" s="712"/>
      <c r="G120" s="712"/>
      <c r="H120" s="712"/>
      <c r="I120" s="712"/>
      <c r="J120" s="712"/>
      <c r="K120" s="712"/>
      <c r="L120" s="712"/>
      <c r="M120" s="712"/>
      <c r="N120" s="712"/>
      <c r="O120" s="712"/>
      <c r="P120" s="712"/>
      <c r="Q120" s="712"/>
      <c r="R120" s="713"/>
    </row>
    <row r="121" spans="2:18" x14ac:dyDescent="0.2">
      <c r="B121" s="711"/>
      <c r="C121" s="712"/>
      <c r="D121" s="712"/>
      <c r="E121" s="712"/>
      <c r="F121" s="712"/>
      <c r="G121" s="712"/>
      <c r="H121" s="712"/>
      <c r="I121" s="712"/>
      <c r="J121" s="712"/>
      <c r="K121" s="712"/>
      <c r="L121" s="712"/>
      <c r="M121" s="712"/>
      <c r="N121" s="712"/>
      <c r="O121" s="712"/>
      <c r="P121" s="712"/>
      <c r="Q121" s="712"/>
      <c r="R121" s="713"/>
    </row>
    <row r="122" spans="2:18" x14ac:dyDescent="0.2">
      <c r="B122" s="711"/>
      <c r="C122" s="712"/>
      <c r="D122" s="712"/>
      <c r="E122" s="712"/>
      <c r="F122" s="712"/>
      <c r="G122" s="712"/>
      <c r="H122" s="712"/>
      <c r="I122" s="712"/>
      <c r="J122" s="712"/>
      <c r="K122" s="712"/>
      <c r="L122" s="712"/>
      <c r="M122" s="712"/>
      <c r="N122" s="712"/>
      <c r="O122" s="712"/>
      <c r="P122" s="712"/>
      <c r="Q122" s="712"/>
      <c r="R122" s="713"/>
    </row>
    <row r="123" spans="2:18" x14ac:dyDescent="0.2">
      <c r="B123" s="711"/>
      <c r="C123" s="712"/>
      <c r="D123" s="712"/>
      <c r="E123" s="712"/>
      <c r="F123" s="712"/>
      <c r="G123" s="712"/>
      <c r="H123" s="712"/>
      <c r="I123" s="712"/>
      <c r="J123" s="712"/>
      <c r="K123" s="712"/>
      <c r="L123" s="712"/>
      <c r="M123" s="712"/>
      <c r="N123" s="712"/>
      <c r="O123" s="712"/>
      <c r="P123" s="712"/>
      <c r="Q123" s="712"/>
      <c r="R123" s="713"/>
    </row>
    <row r="124" spans="2:18" x14ac:dyDescent="0.2">
      <c r="B124" s="711"/>
      <c r="C124" s="712"/>
      <c r="D124" s="712"/>
      <c r="E124" s="712"/>
      <c r="F124" s="712"/>
      <c r="G124" s="712"/>
      <c r="H124" s="712"/>
      <c r="I124" s="712"/>
      <c r="J124" s="712"/>
      <c r="K124" s="712"/>
      <c r="L124" s="712"/>
      <c r="M124" s="712"/>
      <c r="N124" s="712"/>
      <c r="O124" s="712"/>
      <c r="P124" s="712"/>
      <c r="Q124" s="712"/>
      <c r="R124" s="713"/>
    </row>
    <row r="125" spans="2:18" x14ac:dyDescent="0.2">
      <c r="B125" s="711"/>
      <c r="C125" s="712"/>
      <c r="D125" s="712"/>
      <c r="E125" s="712"/>
      <c r="F125" s="712"/>
      <c r="G125" s="712"/>
      <c r="H125" s="712"/>
      <c r="I125" s="712"/>
      <c r="J125" s="712"/>
      <c r="K125" s="712"/>
      <c r="L125" s="712"/>
      <c r="M125" s="712"/>
      <c r="N125" s="712"/>
      <c r="O125" s="712"/>
      <c r="P125" s="712"/>
      <c r="Q125" s="712"/>
      <c r="R125" s="713"/>
    </row>
    <row r="126" spans="2:18" x14ac:dyDescent="0.2">
      <c r="B126" s="711"/>
      <c r="C126" s="712"/>
      <c r="D126" s="712"/>
      <c r="E126" s="712"/>
      <c r="F126" s="712"/>
      <c r="G126" s="712"/>
      <c r="H126" s="712"/>
      <c r="I126" s="712"/>
      <c r="J126" s="712"/>
      <c r="K126" s="712"/>
      <c r="L126" s="712"/>
      <c r="M126" s="712"/>
      <c r="N126" s="712"/>
      <c r="O126" s="712"/>
      <c r="P126" s="712"/>
      <c r="Q126" s="712"/>
      <c r="R126" s="713"/>
    </row>
    <row r="127" spans="2:18" x14ac:dyDescent="0.2">
      <c r="B127" s="711"/>
      <c r="C127" s="712"/>
      <c r="D127" s="712"/>
      <c r="E127" s="712"/>
      <c r="F127" s="712"/>
      <c r="G127" s="712"/>
      <c r="H127" s="712"/>
      <c r="I127" s="712"/>
      <c r="J127" s="712"/>
      <c r="K127" s="712"/>
      <c r="L127" s="712"/>
      <c r="M127" s="712"/>
      <c r="N127" s="712"/>
      <c r="O127" s="712"/>
      <c r="P127" s="712"/>
      <c r="Q127" s="712"/>
      <c r="R127" s="713"/>
    </row>
    <row r="128" spans="2:18" x14ac:dyDescent="0.2">
      <c r="B128" s="711"/>
      <c r="C128" s="712"/>
      <c r="D128" s="712"/>
      <c r="E128" s="712"/>
      <c r="F128" s="712"/>
      <c r="G128" s="712"/>
      <c r="H128" s="712"/>
      <c r="I128" s="712"/>
      <c r="J128" s="712"/>
      <c r="K128" s="712"/>
      <c r="L128" s="712"/>
      <c r="M128" s="712"/>
      <c r="N128" s="712"/>
      <c r="O128" s="712"/>
      <c r="P128" s="712"/>
      <c r="Q128" s="712"/>
      <c r="R128" s="713"/>
    </row>
    <row r="129" spans="2:18" x14ac:dyDescent="0.2">
      <c r="B129" s="711"/>
      <c r="C129" s="712"/>
      <c r="D129" s="712"/>
      <c r="E129" s="712"/>
      <c r="F129" s="712"/>
      <c r="G129" s="712"/>
      <c r="H129" s="712"/>
      <c r="I129" s="712"/>
      <c r="J129" s="712"/>
      <c r="K129" s="712"/>
      <c r="L129" s="712"/>
      <c r="M129" s="712"/>
      <c r="N129" s="712"/>
      <c r="O129" s="712"/>
      <c r="P129" s="712"/>
      <c r="Q129" s="712"/>
      <c r="R129" s="713"/>
    </row>
    <row r="130" spans="2:18" x14ac:dyDescent="0.2">
      <c r="B130" s="711"/>
      <c r="C130" s="712"/>
      <c r="D130" s="712"/>
      <c r="E130" s="712"/>
      <c r="F130" s="712"/>
      <c r="G130" s="712"/>
      <c r="H130" s="712"/>
      <c r="I130" s="712"/>
      <c r="J130" s="712"/>
      <c r="K130" s="712"/>
      <c r="L130" s="712"/>
      <c r="M130" s="712"/>
      <c r="N130" s="712"/>
      <c r="O130" s="712"/>
      <c r="P130" s="712"/>
      <c r="Q130" s="712"/>
      <c r="R130" s="713"/>
    </row>
    <row r="131" spans="2:18" x14ac:dyDescent="0.2">
      <c r="B131" s="711"/>
      <c r="C131" s="712"/>
      <c r="D131" s="712"/>
      <c r="E131" s="712"/>
      <c r="F131" s="712"/>
      <c r="G131" s="712"/>
      <c r="H131" s="712"/>
      <c r="I131" s="712"/>
      <c r="J131" s="712"/>
      <c r="K131" s="712"/>
      <c r="L131" s="712"/>
      <c r="M131" s="712"/>
      <c r="N131" s="712"/>
      <c r="O131" s="712"/>
      <c r="P131" s="712"/>
      <c r="Q131" s="712"/>
      <c r="R131" s="713"/>
    </row>
    <row r="132" spans="2:18" x14ac:dyDescent="0.2">
      <c r="B132" s="711"/>
      <c r="C132" s="712"/>
      <c r="D132" s="712"/>
      <c r="E132" s="712"/>
      <c r="F132" s="712"/>
      <c r="G132" s="712"/>
      <c r="H132" s="712"/>
      <c r="I132" s="712"/>
      <c r="J132" s="712"/>
      <c r="K132" s="712"/>
      <c r="L132" s="712"/>
      <c r="M132" s="712"/>
      <c r="N132" s="712"/>
      <c r="O132" s="712"/>
      <c r="P132" s="712"/>
      <c r="Q132" s="712"/>
      <c r="R132" s="713"/>
    </row>
    <row r="133" spans="2:18" x14ac:dyDescent="0.2">
      <c r="B133" s="711"/>
      <c r="C133" s="712"/>
      <c r="D133" s="712"/>
      <c r="E133" s="712"/>
      <c r="F133" s="712"/>
      <c r="G133" s="712"/>
      <c r="H133" s="712"/>
      <c r="I133" s="712"/>
      <c r="J133" s="712"/>
      <c r="K133" s="712"/>
      <c r="L133" s="712"/>
      <c r="M133" s="712"/>
      <c r="N133" s="712"/>
      <c r="O133" s="712"/>
      <c r="P133" s="712"/>
      <c r="Q133" s="712"/>
      <c r="R133" s="713"/>
    </row>
    <row r="134" spans="2:18" x14ac:dyDescent="0.2">
      <c r="B134" s="711"/>
      <c r="C134" s="712"/>
      <c r="D134" s="712"/>
      <c r="E134" s="712"/>
      <c r="F134" s="712"/>
      <c r="G134" s="712"/>
      <c r="H134" s="712"/>
      <c r="I134" s="712"/>
      <c r="J134" s="712"/>
      <c r="K134" s="712"/>
      <c r="L134" s="712"/>
      <c r="M134" s="712"/>
      <c r="N134" s="712"/>
      <c r="O134" s="712"/>
      <c r="P134" s="712"/>
      <c r="Q134" s="712"/>
      <c r="R134" s="713"/>
    </row>
    <row r="135" spans="2:18" x14ac:dyDescent="0.2">
      <c r="B135" s="711"/>
      <c r="C135" s="712"/>
      <c r="D135" s="712"/>
      <c r="E135" s="712"/>
      <c r="F135" s="712"/>
      <c r="G135" s="712"/>
      <c r="H135" s="712"/>
      <c r="I135" s="712"/>
      <c r="J135" s="712"/>
      <c r="K135" s="712"/>
      <c r="L135" s="712"/>
      <c r="M135" s="712"/>
      <c r="N135" s="712"/>
      <c r="O135" s="712"/>
      <c r="P135" s="712"/>
      <c r="Q135" s="712"/>
      <c r="R135" s="713"/>
    </row>
    <row r="136" spans="2:18" x14ac:dyDescent="0.2">
      <c r="B136" s="711"/>
      <c r="C136" s="712"/>
      <c r="D136" s="712"/>
      <c r="E136" s="712"/>
      <c r="F136" s="712"/>
      <c r="G136" s="712"/>
      <c r="H136" s="712"/>
      <c r="I136" s="712"/>
      <c r="J136" s="712"/>
      <c r="K136" s="712"/>
      <c r="L136" s="712"/>
      <c r="M136" s="712"/>
      <c r="N136" s="712"/>
      <c r="O136" s="712"/>
      <c r="P136" s="712"/>
      <c r="Q136" s="712"/>
      <c r="R136" s="713"/>
    </row>
    <row r="137" spans="2:18" x14ac:dyDescent="0.2">
      <c r="B137" s="711"/>
      <c r="C137" s="712"/>
      <c r="D137" s="712"/>
      <c r="E137" s="712"/>
      <c r="F137" s="712"/>
      <c r="G137" s="712"/>
      <c r="H137" s="712"/>
      <c r="I137" s="712"/>
      <c r="J137" s="712"/>
      <c r="K137" s="712"/>
      <c r="L137" s="712"/>
      <c r="M137" s="712"/>
      <c r="N137" s="712"/>
      <c r="O137" s="712"/>
      <c r="P137" s="712"/>
      <c r="Q137" s="712"/>
      <c r="R137" s="713"/>
    </row>
    <row r="138" spans="2:18" x14ac:dyDescent="0.2">
      <c r="B138" s="711"/>
      <c r="C138" s="712"/>
      <c r="D138" s="712"/>
      <c r="E138" s="712"/>
      <c r="F138" s="712"/>
      <c r="G138" s="712"/>
      <c r="H138" s="712"/>
      <c r="I138" s="712"/>
      <c r="J138" s="712"/>
      <c r="K138" s="712"/>
      <c r="L138" s="712"/>
      <c r="M138" s="712"/>
      <c r="N138" s="712"/>
      <c r="O138" s="712"/>
      <c r="P138" s="712"/>
      <c r="Q138" s="712"/>
      <c r="R138" s="713"/>
    </row>
    <row r="139" spans="2:18" x14ac:dyDescent="0.2">
      <c r="B139" s="711"/>
      <c r="C139" s="712"/>
      <c r="D139" s="712"/>
      <c r="E139" s="712"/>
      <c r="F139" s="712"/>
      <c r="G139" s="712"/>
      <c r="H139" s="712"/>
      <c r="I139" s="712"/>
      <c r="J139" s="712"/>
      <c r="K139" s="712"/>
      <c r="L139" s="712"/>
      <c r="M139" s="712"/>
      <c r="N139" s="712"/>
      <c r="O139" s="712"/>
      <c r="P139" s="712"/>
      <c r="Q139" s="712"/>
      <c r="R139" s="713"/>
    </row>
    <row r="140" spans="2:18" x14ac:dyDescent="0.2">
      <c r="B140" s="711"/>
      <c r="C140" s="712"/>
      <c r="D140" s="712"/>
      <c r="E140" s="712"/>
      <c r="F140" s="712"/>
      <c r="G140" s="712"/>
      <c r="H140" s="712"/>
      <c r="I140" s="712"/>
      <c r="J140" s="712"/>
      <c r="K140" s="712"/>
      <c r="L140" s="712"/>
      <c r="M140" s="712"/>
      <c r="N140" s="712"/>
      <c r="O140" s="712"/>
      <c r="P140" s="712"/>
      <c r="Q140" s="712"/>
      <c r="R140" s="713"/>
    </row>
    <row r="141" spans="2:18" x14ac:dyDescent="0.2">
      <c r="B141" s="711"/>
      <c r="C141" s="712"/>
      <c r="D141" s="712"/>
      <c r="E141" s="712"/>
      <c r="F141" s="712"/>
      <c r="G141" s="712"/>
      <c r="H141" s="712"/>
      <c r="I141" s="712"/>
      <c r="J141" s="712"/>
      <c r="K141" s="712"/>
      <c r="L141" s="712"/>
      <c r="M141" s="712"/>
      <c r="N141" s="712"/>
      <c r="O141" s="712"/>
      <c r="P141" s="712"/>
      <c r="Q141" s="712"/>
      <c r="R141" s="713"/>
    </row>
    <row r="142" spans="2:18" x14ac:dyDescent="0.2">
      <c r="B142" s="711"/>
      <c r="C142" s="712"/>
      <c r="D142" s="712"/>
      <c r="E142" s="712"/>
      <c r="F142" s="712"/>
      <c r="G142" s="712"/>
      <c r="H142" s="712"/>
      <c r="I142" s="712"/>
      <c r="J142" s="712"/>
      <c r="K142" s="712"/>
      <c r="L142" s="712"/>
      <c r="M142" s="712"/>
      <c r="N142" s="712"/>
      <c r="O142" s="712"/>
      <c r="P142" s="712"/>
      <c r="Q142" s="712"/>
      <c r="R142" s="713"/>
    </row>
    <row r="143" spans="2:18" x14ac:dyDescent="0.2">
      <c r="B143" s="711"/>
      <c r="C143" s="712"/>
      <c r="D143" s="712"/>
      <c r="E143" s="712"/>
      <c r="F143" s="712"/>
      <c r="G143" s="712"/>
      <c r="H143" s="712"/>
      <c r="I143" s="712"/>
      <c r="J143" s="712"/>
      <c r="K143" s="712"/>
      <c r="L143" s="712"/>
      <c r="M143" s="712"/>
      <c r="N143" s="712"/>
      <c r="O143" s="712"/>
      <c r="P143" s="712"/>
      <c r="Q143" s="712"/>
      <c r="R143" s="713"/>
    </row>
    <row r="144" spans="2:18" x14ac:dyDescent="0.2">
      <c r="B144" s="711"/>
      <c r="C144" s="712"/>
      <c r="D144" s="712"/>
      <c r="E144" s="712"/>
      <c r="F144" s="712"/>
      <c r="G144" s="712"/>
      <c r="H144" s="712"/>
      <c r="I144" s="712"/>
      <c r="J144" s="712"/>
      <c r="K144" s="712"/>
      <c r="L144" s="712"/>
      <c r="M144" s="712"/>
      <c r="N144" s="712"/>
      <c r="O144" s="712"/>
      <c r="P144" s="712"/>
      <c r="Q144" s="712"/>
      <c r="R144" s="713"/>
    </row>
    <row r="145" spans="2:18" x14ac:dyDescent="0.2">
      <c r="B145" s="711"/>
      <c r="C145" s="712"/>
      <c r="D145" s="712"/>
      <c r="E145" s="712"/>
      <c r="F145" s="712"/>
      <c r="G145" s="712"/>
      <c r="H145" s="712"/>
      <c r="I145" s="712"/>
      <c r="J145" s="712"/>
      <c r="K145" s="712"/>
      <c r="L145" s="712"/>
      <c r="M145" s="712"/>
      <c r="N145" s="712"/>
      <c r="O145" s="712"/>
      <c r="P145" s="712"/>
      <c r="Q145" s="712"/>
      <c r="R145" s="713"/>
    </row>
    <row r="146" spans="2:18" x14ac:dyDescent="0.2">
      <c r="B146" s="711"/>
      <c r="C146" s="712"/>
      <c r="D146" s="712"/>
      <c r="E146" s="712"/>
      <c r="F146" s="712"/>
      <c r="G146" s="712"/>
      <c r="H146" s="712"/>
      <c r="I146" s="712"/>
      <c r="J146" s="712"/>
      <c r="K146" s="712"/>
      <c r="L146" s="712"/>
      <c r="M146" s="712"/>
      <c r="N146" s="712"/>
      <c r="O146" s="712"/>
      <c r="P146" s="712"/>
      <c r="Q146" s="712"/>
      <c r="R146" s="713"/>
    </row>
    <row r="147" spans="2:18" x14ac:dyDescent="0.2">
      <c r="B147" s="711"/>
      <c r="C147" s="712"/>
      <c r="D147" s="712"/>
      <c r="E147" s="712"/>
      <c r="F147" s="712"/>
      <c r="G147" s="712"/>
      <c r="H147" s="712"/>
      <c r="I147" s="712"/>
      <c r="J147" s="712"/>
      <c r="K147" s="712"/>
      <c r="L147" s="712"/>
      <c r="M147" s="712"/>
      <c r="N147" s="712"/>
      <c r="O147" s="712"/>
      <c r="P147" s="712"/>
      <c r="Q147" s="712"/>
      <c r="R147" s="713"/>
    </row>
    <row r="148" spans="2:18" x14ac:dyDescent="0.2">
      <c r="B148" s="711"/>
      <c r="C148" s="712"/>
      <c r="D148" s="712"/>
      <c r="E148" s="712"/>
      <c r="F148" s="712"/>
      <c r="G148" s="712"/>
      <c r="H148" s="712"/>
      <c r="I148" s="712"/>
      <c r="J148" s="712"/>
      <c r="K148" s="712"/>
      <c r="L148" s="712"/>
      <c r="M148" s="712"/>
      <c r="N148" s="712"/>
      <c r="O148" s="712"/>
      <c r="P148" s="712"/>
      <c r="Q148" s="712"/>
      <c r="R148" s="713"/>
    </row>
    <row r="149" spans="2:18" x14ac:dyDescent="0.2">
      <c r="B149" s="711"/>
      <c r="C149" s="712"/>
      <c r="D149" s="712"/>
      <c r="E149" s="712"/>
      <c r="F149" s="712"/>
      <c r="G149" s="712"/>
      <c r="H149" s="712"/>
      <c r="I149" s="712"/>
      <c r="J149" s="712"/>
      <c r="K149" s="712"/>
      <c r="L149" s="712"/>
      <c r="M149" s="712"/>
      <c r="N149" s="712"/>
      <c r="O149" s="712"/>
      <c r="P149" s="712"/>
      <c r="Q149" s="712"/>
      <c r="R149" s="713"/>
    </row>
    <row r="150" spans="2:18" x14ac:dyDescent="0.2">
      <c r="B150" s="711"/>
      <c r="C150" s="712"/>
      <c r="D150" s="712"/>
      <c r="E150" s="712"/>
      <c r="F150" s="712"/>
      <c r="G150" s="712"/>
      <c r="H150" s="712"/>
      <c r="I150" s="712"/>
      <c r="J150" s="712"/>
      <c r="K150" s="712"/>
      <c r="L150" s="712"/>
      <c r="M150" s="712"/>
      <c r="N150" s="712"/>
      <c r="O150" s="712"/>
      <c r="P150" s="712"/>
      <c r="Q150" s="712"/>
      <c r="R150" s="713"/>
    </row>
    <row r="151" spans="2:18" x14ac:dyDescent="0.2">
      <c r="B151" s="711"/>
      <c r="C151" s="712"/>
      <c r="D151" s="712"/>
      <c r="E151" s="712"/>
      <c r="F151" s="712"/>
      <c r="G151" s="712"/>
      <c r="H151" s="712"/>
      <c r="I151" s="712"/>
      <c r="J151" s="712"/>
      <c r="K151" s="712"/>
      <c r="L151" s="712"/>
      <c r="M151" s="712"/>
      <c r="N151" s="712"/>
      <c r="O151" s="712"/>
      <c r="P151" s="712"/>
      <c r="Q151" s="712"/>
      <c r="R151" s="713"/>
    </row>
    <row r="152" spans="2:18" x14ac:dyDescent="0.2">
      <c r="B152" s="711"/>
      <c r="C152" s="712"/>
      <c r="D152" s="712"/>
      <c r="E152" s="712"/>
      <c r="F152" s="712"/>
      <c r="G152" s="712"/>
      <c r="H152" s="712"/>
      <c r="I152" s="712"/>
      <c r="J152" s="712"/>
      <c r="K152" s="712"/>
      <c r="L152" s="712"/>
      <c r="M152" s="712"/>
      <c r="N152" s="712"/>
      <c r="O152" s="712"/>
      <c r="P152" s="712"/>
      <c r="Q152" s="712"/>
      <c r="R152" s="713"/>
    </row>
    <row r="153" spans="2:18" x14ac:dyDescent="0.2">
      <c r="B153" s="711"/>
      <c r="C153" s="712"/>
      <c r="D153" s="712"/>
      <c r="E153" s="712"/>
      <c r="F153" s="712"/>
      <c r="G153" s="712"/>
      <c r="H153" s="712"/>
      <c r="I153" s="712"/>
      <c r="J153" s="712"/>
      <c r="K153" s="712"/>
      <c r="L153" s="712"/>
      <c r="M153" s="712"/>
      <c r="N153" s="712"/>
      <c r="O153" s="712"/>
      <c r="P153" s="712"/>
      <c r="Q153" s="712"/>
      <c r="R153" s="713"/>
    </row>
    <row r="154" spans="2:18" x14ac:dyDescent="0.2">
      <c r="B154" s="711"/>
      <c r="C154" s="712"/>
      <c r="D154" s="712"/>
      <c r="E154" s="712"/>
      <c r="F154" s="712"/>
      <c r="G154" s="712"/>
      <c r="H154" s="712"/>
      <c r="I154" s="712"/>
      <c r="J154" s="712"/>
      <c r="K154" s="712"/>
      <c r="L154" s="712"/>
      <c r="M154" s="712"/>
      <c r="N154" s="712"/>
      <c r="O154" s="712"/>
      <c r="P154" s="712"/>
      <c r="Q154" s="712"/>
      <c r="R154" s="713"/>
    </row>
    <row r="155" spans="2:18" x14ac:dyDescent="0.2">
      <c r="B155" s="711"/>
      <c r="C155" s="712"/>
      <c r="D155" s="712"/>
      <c r="E155" s="712"/>
      <c r="F155" s="712"/>
      <c r="G155" s="712"/>
      <c r="H155" s="712"/>
      <c r="I155" s="712"/>
      <c r="J155" s="712"/>
      <c r="K155" s="712"/>
      <c r="L155" s="712"/>
      <c r="M155" s="712"/>
      <c r="N155" s="712"/>
      <c r="O155" s="712"/>
      <c r="P155" s="712"/>
      <c r="Q155" s="712"/>
      <c r="R155" s="713"/>
    </row>
    <row r="156" spans="2:18" x14ac:dyDescent="0.2">
      <c r="B156" s="711"/>
      <c r="C156" s="712"/>
      <c r="D156" s="712"/>
      <c r="E156" s="712"/>
      <c r="F156" s="712"/>
      <c r="G156" s="712"/>
      <c r="H156" s="712"/>
      <c r="I156" s="712"/>
      <c r="J156" s="712"/>
      <c r="K156" s="712"/>
      <c r="L156" s="712"/>
      <c r="M156" s="712"/>
      <c r="N156" s="712"/>
      <c r="O156" s="712"/>
      <c r="P156" s="712"/>
      <c r="Q156" s="712"/>
      <c r="R156" s="713"/>
    </row>
    <row r="157" spans="2:18" x14ac:dyDescent="0.2">
      <c r="B157" s="711"/>
      <c r="C157" s="712"/>
      <c r="D157" s="712"/>
      <c r="E157" s="712"/>
      <c r="F157" s="712"/>
      <c r="G157" s="712"/>
      <c r="H157" s="712"/>
      <c r="I157" s="712"/>
      <c r="J157" s="712"/>
      <c r="K157" s="712"/>
      <c r="L157" s="712"/>
      <c r="M157" s="712"/>
      <c r="N157" s="712"/>
      <c r="O157" s="712"/>
      <c r="P157" s="712"/>
      <c r="Q157" s="712"/>
      <c r="R157" s="713"/>
    </row>
    <row r="158" spans="2:18" x14ac:dyDescent="0.2">
      <c r="B158" s="711"/>
      <c r="C158" s="712"/>
      <c r="D158" s="712"/>
      <c r="E158" s="712"/>
      <c r="F158" s="712"/>
      <c r="G158" s="712"/>
      <c r="H158" s="712"/>
      <c r="I158" s="712"/>
      <c r="J158" s="712"/>
      <c r="K158" s="712"/>
      <c r="L158" s="712"/>
      <c r="M158" s="712"/>
      <c r="N158" s="712"/>
      <c r="O158" s="712"/>
      <c r="P158" s="712"/>
      <c r="Q158" s="712"/>
      <c r="R158" s="713"/>
    </row>
    <row r="159" spans="2:18" x14ac:dyDescent="0.2">
      <c r="B159" s="711"/>
      <c r="C159" s="712"/>
      <c r="D159" s="712"/>
      <c r="E159" s="712"/>
      <c r="F159" s="712"/>
      <c r="G159" s="712"/>
      <c r="H159" s="712"/>
      <c r="I159" s="712"/>
      <c r="J159" s="712"/>
      <c r="K159" s="712"/>
      <c r="L159" s="712"/>
      <c r="M159" s="712"/>
      <c r="N159" s="712"/>
      <c r="O159" s="712"/>
      <c r="P159" s="712"/>
      <c r="Q159" s="712"/>
      <c r="R159" s="713"/>
    </row>
    <row r="160" spans="2:18" x14ac:dyDescent="0.2">
      <c r="B160" s="711"/>
      <c r="C160" s="712"/>
      <c r="D160" s="712"/>
      <c r="E160" s="712"/>
      <c r="F160" s="712"/>
      <c r="G160" s="712"/>
      <c r="H160" s="712"/>
      <c r="I160" s="712"/>
      <c r="J160" s="712"/>
      <c r="K160" s="712"/>
      <c r="L160" s="712"/>
      <c r="M160" s="712"/>
      <c r="N160" s="712"/>
      <c r="O160" s="712"/>
      <c r="P160" s="712"/>
      <c r="Q160" s="712"/>
      <c r="R160" s="713"/>
    </row>
    <row r="161" spans="2:18" x14ac:dyDescent="0.2">
      <c r="B161" s="711"/>
      <c r="C161" s="712"/>
      <c r="D161" s="712"/>
      <c r="E161" s="712"/>
      <c r="F161" s="712"/>
      <c r="G161" s="712"/>
      <c r="H161" s="712"/>
      <c r="I161" s="712"/>
      <c r="J161" s="712"/>
      <c r="K161" s="712"/>
      <c r="L161" s="712"/>
      <c r="M161" s="712"/>
      <c r="N161" s="712"/>
      <c r="O161" s="712"/>
      <c r="P161" s="712"/>
      <c r="Q161" s="712"/>
      <c r="R161" s="713"/>
    </row>
    <row r="162" spans="2:18" x14ac:dyDescent="0.2">
      <c r="B162" s="711"/>
      <c r="C162" s="712"/>
      <c r="D162" s="712"/>
      <c r="E162" s="712"/>
      <c r="F162" s="712"/>
      <c r="G162" s="712"/>
      <c r="H162" s="712"/>
      <c r="I162" s="712"/>
      <c r="J162" s="712"/>
      <c r="K162" s="712"/>
      <c r="L162" s="712"/>
      <c r="M162" s="712"/>
      <c r="N162" s="712"/>
      <c r="O162" s="712"/>
      <c r="P162" s="712"/>
      <c r="Q162" s="712"/>
      <c r="R162" s="713"/>
    </row>
    <row r="163" spans="2:18" x14ac:dyDescent="0.2">
      <c r="B163" s="711"/>
      <c r="C163" s="712"/>
      <c r="D163" s="712"/>
      <c r="E163" s="712"/>
      <c r="F163" s="712"/>
      <c r="G163" s="712"/>
      <c r="H163" s="712"/>
      <c r="I163" s="712"/>
      <c r="J163" s="712"/>
      <c r="K163" s="712"/>
      <c r="L163" s="712"/>
      <c r="M163" s="712"/>
      <c r="N163" s="712"/>
      <c r="O163" s="712"/>
      <c r="P163" s="712"/>
      <c r="Q163" s="712"/>
      <c r="R163" s="713"/>
    </row>
    <row r="164" spans="2:18" x14ac:dyDescent="0.2">
      <c r="B164" s="711"/>
      <c r="C164" s="712"/>
      <c r="D164" s="712"/>
      <c r="E164" s="712"/>
      <c r="F164" s="712"/>
      <c r="G164" s="712"/>
      <c r="H164" s="712"/>
      <c r="I164" s="712"/>
      <c r="J164" s="712"/>
      <c r="K164" s="712"/>
      <c r="L164" s="712"/>
      <c r="M164" s="712"/>
      <c r="N164" s="712"/>
      <c r="O164" s="712"/>
      <c r="P164" s="712"/>
      <c r="Q164" s="712"/>
      <c r="R164" s="713"/>
    </row>
    <row r="165" spans="2:18" x14ac:dyDescent="0.2">
      <c r="B165" s="711"/>
      <c r="C165" s="712"/>
      <c r="D165" s="712"/>
      <c r="E165" s="712"/>
      <c r="F165" s="712"/>
      <c r="G165" s="712"/>
      <c r="H165" s="712"/>
      <c r="I165" s="712"/>
      <c r="J165" s="712"/>
      <c r="K165" s="712"/>
      <c r="L165" s="712"/>
      <c r="M165" s="712"/>
      <c r="N165" s="712"/>
      <c r="O165" s="712"/>
      <c r="P165" s="712"/>
      <c r="Q165" s="712"/>
      <c r="R165" s="713"/>
    </row>
    <row r="166" spans="2:18" x14ac:dyDescent="0.2">
      <c r="B166" s="711"/>
      <c r="C166" s="712"/>
      <c r="D166" s="712"/>
      <c r="E166" s="712"/>
      <c r="F166" s="712"/>
      <c r="G166" s="712"/>
      <c r="H166" s="712"/>
      <c r="I166" s="712"/>
      <c r="J166" s="712"/>
      <c r="K166" s="712"/>
      <c r="L166" s="712"/>
      <c r="M166" s="712"/>
      <c r="N166" s="712"/>
      <c r="O166" s="712"/>
      <c r="P166" s="712"/>
      <c r="Q166" s="712"/>
      <c r="R166" s="713"/>
    </row>
    <row r="167" spans="2:18" x14ac:dyDescent="0.2">
      <c r="B167" s="711"/>
      <c r="C167" s="712"/>
      <c r="D167" s="712"/>
      <c r="E167" s="712"/>
      <c r="F167" s="712"/>
      <c r="G167" s="712"/>
      <c r="H167" s="712"/>
      <c r="I167" s="712"/>
      <c r="J167" s="712"/>
      <c r="K167" s="712"/>
      <c r="L167" s="712"/>
      <c r="M167" s="712"/>
      <c r="N167" s="712"/>
      <c r="O167" s="712"/>
      <c r="P167" s="712"/>
      <c r="Q167" s="712"/>
      <c r="R167" s="713"/>
    </row>
    <row r="168" spans="2:18" x14ac:dyDescent="0.2">
      <c r="B168" s="711"/>
      <c r="C168" s="712"/>
      <c r="D168" s="712"/>
      <c r="E168" s="712"/>
      <c r="F168" s="712"/>
      <c r="G168" s="712"/>
      <c r="H168" s="712"/>
      <c r="I168" s="712"/>
      <c r="J168" s="712"/>
      <c r="K168" s="712"/>
      <c r="L168" s="712"/>
      <c r="M168" s="712"/>
      <c r="N168" s="712"/>
      <c r="O168" s="712"/>
      <c r="P168" s="712"/>
      <c r="Q168" s="712"/>
      <c r="R168" s="713"/>
    </row>
    <row r="169" spans="2:18" x14ac:dyDescent="0.2">
      <c r="B169" s="711"/>
      <c r="C169" s="712"/>
      <c r="D169" s="712"/>
      <c r="E169" s="712"/>
      <c r="F169" s="712"/>
      <c r="G169" s="712"/>
      <c r="H169" s="712"/>
      <c r="I169" s="712"/>
      <c r="J169" s="712"/>
      <c r="K169" s="712"/>
      <c r="L169" s="712"/>
      <c r="M169" s="712"/>
      <c r="N169" s="712"/>
      <c r="O169" s="712"/>
      <c r="P169" s="712"/>
      <c r="Q169" s="712"/>
      <c r="R169" s="713"/>
    </row>
    <row r="170" spans="2:18" x14ac:dyDescent="0.2">
      <c r="B170" s="711"/>
      <c r="C170" s="712"/>
      <c r="D170" s="712"/>
      <c r="E170" s="712"/>
      <c r="F170" s="712"/>
      <c r="G170" s="712"/>
      <c r="H170" s="712"/>
      <c r="I170" s="712"/>
      <c r="J170" s="712"/>
      <c r="K170" s="712"/>
      <c r="L170" s="712"/>
      <c r="M170" s="712"/>
      <c r="N170" s="712"/>
      <c r="O170" s="712"/>
      <c r="P170" s="712"/>
      <c r="Q170" s="712"/>
      <c r="R170" s="713"/>
    </row>
    <row r="171" spans="2:18" x14ac:dyDescent="0.2">
      <c r="B171" s="711"/>
      <c r="C171" s="712"/>
      <c r="D171" s="712"/>
      <c r="E171" s="712"/>
      <c r="F171" s="712"/>
      <c r="G171" s="712"/>
      <c r="H171" s="712"/>
      <c r="I171" s="712"/>
      <c r="J171" s="712"/>
      <c r="K171" s="712"/>
      <c r="L171" s="712"/>
      <c r="M171" s="712"/>
      <c r="N171" s="712"/>
      <c r="O171" s="712"/>
      <c r="P171" s="712"/>
      <c r="Q171" s="712"/>
      <c r="R171" s="713"/>
    </row>
    <row r="172" spans="2:18" x14ac:dyDescent="0.2">
      <c r="B172" s="711"/>
      <c r="C172" s="712"/>
      <c r="D172" s="712"/>
      <c r="E172" s="712"/>
      <c r="F172" s="712"/>
      <c r="G172" s="712"/>
      <c r="H172" s="712"/>
      <c r="I172" s="712"/>
      <c r="J172" s="712"/>
      <c r="K172" s="712"/>
      <c r="L172" s="712"/>
      <c r="M172" s="712"/>
      <c r="N172" s="712"/>
      <c r="O172" s="712"/>
      <c r="P172" s="712"/>
      <c r="Q172" s="712"/>
      <c r="R172" s="713"/>
    </row>
    <row r="173" spans="2:18" x14ac:dyDescent="0.2">
      <c r="B173" s="711"/>
      <c r="C173" s="712"/>
      <c r="D173" s="712"/>
      <c r="E173" s="712"/>
      <c r="F173" s="712"/>
      <c r="G173" s="712"/>
      <c r="H173" s="712"/>
      <c r="I173" s="712"/>
      <c r="J173" s="712"/>
      <c r="K173" s="712"/>
      <c r="L173" s="712"/>
      <c r="M173" s="712"/>
      <c r="N173" s="712"/>
      <c r="O173" s="712"/>
      <c r="P173" s="712"/>
      <c r="Q173" s="712"/>
      <c r="R173" s="713"/>
    </row>
    <row r="174" spans="2:18" x14ac:dyDescent="0.2">
      <c r="B174" s="711"/>
      <c r="C174" s="712"/>
      <c r="D174" s="712"/>
      <c r="E174" s="712"/>
      <c r="F174" s="712"/>
      <c r="G174" s="712"/>
      <c r="H174" s="712"/>
      <c r="I174" s="712"/>
      <c r="J174" s="712"/>
      <c r="K174" s="712"/>
      <c r="L174" s="712"/>
      <c r="M174" s="712"/>
      <c r="N174" s="712"/>
      <c r="O174" s="712"/>
      <c r="P174" s="712"/>
      <c r="Q174" s="712"/>
      <c r="R174" s="713"/>
    </row>
    <row r="175" spans="2:18" x14ac:dyDescent="0.2">
      <c r="B175" s="711"/>
      <c r="C175" s="712"/>
      <c r="D175" s="712"/>
      <c r="E175" s="712"/>
      <c r="F175" s="712"/>
      <c r="G175" s="712"/>
      <c r="H175" s="712"/>
      <c r="I175" s="712"/>
      <c r="J175" s="712"/>
      <c r="K175" s="712"/>
      <c r="L175" s="712"/>
      <c r="M175" s="712"/>
      <c r="N175" s="712"/>
      <c r="O175" s="712"/>
      <c r="P175" s="712"/>
      <c r="Q175" s="712"/>
      <c r="R175" s="713"/>
    </row>
    <row r="176" spans="2:18" x14ac:dyDescent="0.2">
      <c r="B176" s="711"/>
      <c r="C176" s="712"/>
      <c r="D176" s="712"/>
      <c r="E176" s="712"/>
      <c r="F176" s="712"/>
      <c r="G176" s="712"/>
      <c r="H176" s="712"/>
      <c r="I176" s="712"/>
      <c r="J176" s="712"/>
      <c r="K176" s="712"/>
      <c r="L176" s="712"/>
      <c r="M176" s="712"/>
      <c r="N176" s="712"/>
      <c r="O176" s="712"/>
      <c r="P176" s="712"/>
      <c r="Q176" s="712"/>
      <c r="R176" s="713"/>
    </row>
    <row r="177" spans="2:18" x14ac:dyDescent="0.2">
      <c r="B177" s="711"/>
      <c r="C177" s="712"/>
      <c r="D177" s="712"/>
      <c r="E177" s="712"/>
      <c r="F177" s="712"/>
      <c r="G177" s="712"/>
      <c r="H177" s="712"/>
      <c r="I177" s="712"/>
      <c r="J177" s="712"/>
      <c r="K177" s="712"/>
      <c r="L177" s="712"/>
      <c r="M177" s="712"/>
      <c r="N177" s="712"/>
      <c r="O177" s="712"/>
      <c r="P177" s="712"/>
      <c r="Q177" s="712"/>
      <c r="R177" s="713"/>
    </row>
    <row r="178" spans="2:18" x14ac:dyDescent="0.2">
      <c r="B178" s="711"/>
      <c r="C178" s="712"/>
      <c r="D178" s="712"/>
      <c r="E178" s="712"/>
      <c r="F178" s="712"/>
      <c r="G178" s="712"/>
      <c r="H178" s="712"/>
      <c r="I178" s="712"/>
      <c r="J178" s="712"/>
      <c r="K178" s="712"/>
      <c r="L178" s="712"/>
      <c r="M178" s="712"/>
      <c r="N178" s="712"/>
      <c r="O178" s="712"/>
      <c r="P178" s="712"/>
      <c r="Q178" s="712"/>
      <c r="R178" s="713"/>
    </row>
    <row r="179" spans="2:18" x14ac:dyDescent="0.2">
      <c r="B179" s="711"/>
      <c r="C179" s="712"/>
      <c r="D179" s="712"/>
      <c r="E179" s="712"/>
      <c r="F179" s="712"/>
      <c r="G179" s="712"/>
      <c r="H179" s="712"/>
      <c r="I179" s="712"/>
      <c r="J179" s="712"/>
      <c r="K179" s="712"/>
      <c r="L179" s="712"/>
      <c r="M179" s="712"/>
      <c r="N179" s="712"/>
      <c r="O179" s="712"/>
      <c r="P179" s="712"/>
      <c r="Q179" s="712"/>
      <c r="R179" s="713"/>
    </row>
    <row r="180" spans="2:18" x14ac:dyDescent="0.2">
      <c r="B180" s="711"/>
      <c r="C180" s="712"/>
      <c r="D180" s="712"/>
      <c r="E180" s="712"/>
      <c r="F180" s="712"/>
      <c r="G180" s="712"/>
      <c r="H180" s="712"/>
      <c r="I180" s="712"/>
      <c r="J180" s="712"/>
      <c r="K180" s="712"/>
      <c r="L180" s="712"/>
      <c r="M180" s="712"/>
      <c r="N180" s="712"/>
      <c r="O180" s="712"/>
      <c r="P180" s="712"/>
      <c r="Q180" s="712"/>
      <c r="R180" s="713"/>
    </row>
    <row r="181" spans="2:18" x14ac:dyDescent="0.2">
      <c r="B181" s="711"/>
      <c r="C181" s="712"/>
      <c r="D181" s="712"/>
      <c r="E181" s="712"/>
      <c r="F181" s="712"/>
      <c r="G181" s="712"/>
      <c r="H181" s="712"/>
      <c r="I181" s="712"/>
      <c r="J181" s="712"/>
      <c r="K181" s="712"/>
      <c r="L181" s="712"/>
      <c r="M181" s="712"/>
      <c r="N181" s="712"/>
      <c r="O181" s="712"/>
      <c r="P181" s="712"/>
      <c r="Q181" s="712"/>
      <c r="R181" s="713"/>
    </row>
    <row r="182" spans="2:18" x14ac:dyDescent="0.2">
      <c r="B182" s="711"/>
      <c r="C182" s="712"/>
      <c r="D182" s="712"/>
      <c r="E182" s="712"/>
      <c r="F182" s="712"/>
      <c r="G182" s="712"/>
      <c r="H182" s="712"/>
      <c r="I182" s="712"/>
      <c r="J182" s="712"/>
      <c r="K182" s="712"/>
      <c r="L182" s="712"/>
      <c r="M182" s="712"/>
      <c r="N182" s="712"/>
      <c r="O182" s="712"/>
      <c r="P182" s="712"/>
      <c r="Q182" s="712"/>
      <c r="R182" s="713"/>
    </row>
    <row r="183" spans="2:18" x14ac:dyDescent="0.2">
      <c r="B183" s="711"/>
      <c r="C183" s="712"/>
      <c r="D183" s="712"/>
      <c r="E183" s="712"/>
      <c r="F183" s="712"/>
      <c r="G183" s="712"/>
      <c r="H183" s="712"/>
      <c r="I183" s="712"/>
      <c r="J183" s="712"/>
      <c r="K183" s="712"/>
      <c r="L183" s="712"/>
      <c r="M183" s="712"/>
      <c r="N183" s="712"/>
      <c r="O183" s="712"/>
      <c r="P183" s="712"/>
      <c r="Q183" s="712"/>
      <c r="R183" s="713"/>
    </row>
    <row r="184" spans="2:18" x14ac:dyDescent="0.2">
      <c r="B184" s="711"/>
      <c r="C184" s="712"/>
      <c r="D184" s="712"/>
      <c r="E184" s="712"/>
      <c r="F184" s="712"/>
      <c r="G184" s="712"/>
      <c r="H184" s="712"/>
      <c r="I184" s="712"/>
      <c r="J184" s="712"/>
      <c r="K184" s="712"/>
      <c r="L184" s="712"/>
      <c r="M184" s="712"/>
      <c r="N184" s="712"/>
      <c r="O184" s="712"/>
      <c r="P184" s="712"/>
      <c r="Q184" s="712"/>
      <c r="R184" s="713"/>
    </row>
    <row r="185" spans="2:18" x14ac:dyDescent="0.2">
      <c r="B185" s="720"/>
      <c r="C185" s="721"/>
      <c r="D185" s="721"/>
      <c r="E185" s="721"/>
      <c r="F185" s="721"/>
      <c r="G185" s="721"/>
      <c r="H185" s="721"/>
      <c r="I185" s="721"/>
      <c r="J185" s="721"/>
      <c r="K185" s="721"/>
      <c r="L185" s="721"/>
      <c r="M185" s="721"/>
      <c r="N185" s="721"/>
      <c r="O185" s="721"/>
      <c r="P185" s="721"/>
      <c r="Q185" s="845" t="s">
        <v>429</v>
      </c>
      <c r="R185" s="722"/>
    </row>
    <row r="262" spans="2:3" ht="18.75" x14ac:dyDescent="0.3">
      <c r="B262" s="723"/>
      <c r="C262" s="723"/>
    </row>
  </sheetData>
  <sheetProtection algorithmName="SHA-512" hashValue="L781nkI4kamsa6tk7L+81E/raRDh8Q0F42oBQ6S46Oc0t1DfbML3wN8UZ1Wyj21EtwTPSV8llzSNoIq9hL7yVg==" saltValue="sE5oe0WkBAeQdY2QpjCD3g==" spinCount="100000" sheet="1" objects="1" scenarios="1"/>
  <hyperlinks>
    <hyperlink ref="Q95" r:id="rId1"/>
    <hyperlink ref="Q185" r:id="rId2"/>
  </hyperlinks>
  <pageMargins left="0.75" right="0.75" top="1" bottom="1" header="0.5" footer="0.5"/>
  <pageSetup paperSize="9" scale="58" orientation="portrait" r:id="rId3"/>
  <headerFooter alignWithMargins="0">
    <oddHeader>&amp;L&amp;"Arial,Vet"&amp;9&amp;F&amp;R&amp;"Arial,Vet"&amp;9&amp;A</oddHeader>
    <oddFooter>&amp;L&amp;"Arial,Vet"&amp;9be.keizer@wxs.nl&amp;C&amp;"Arial,Vet"&amp;9pagina &amp;P&amp;R&amp;"Arial,Vet"&amp;9&amp;D</oddFooter>
  </headerFooter>
  <rowBreaks count="1" manualBreakCount="1">
    <brk id="95" min="1" max="17" man="1"/>
  </rowBreaks>
  <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54"/>
  <sheetViews>
    <sheetView zoomScale="90" zoomScaleNormal="90" zoomScalePageLayoutView="85" workbookViewId="0"/>
  </sheetViews>
  <sheetFormatPr defaultRowHeight="12.75" x14ac:dyDescent="0.2"/>
  <cols>
    <col min="1" max="1" width="44.5703125" style="897" customWidth="1"/>
    <col min="2" max="2" width="3.42578125" style="897" customWidth="1"/>
    <col min="3" max="5" width="14.85546875" style="897" customWidth="1"/>
    <col min="6" max="6" width="16.28515625" style="897" customWidth="1"/>
    <col min="7" max="8" width="15.5703125" style="897" customWidth="1"/>
    <col min="9" max="9" width="15.7109375" style="897" customWidth="1"/>
    <col min="10" max="10" width="15.42578125" style="897" customWidth="1"/>
    <col min="11" max="11" width="14.85546875" style="897" customWidth="1"/>
    <col min="12" max="12" width="15.140625" style="897" customWidth="1"/>
    <col min="13" max="14" width="14.85546875" style="897" customWidth="1"/>
    <col min="15" max="15" width="16.140625" style="897" customWidth="1"/>
    <col min="16" max="36" width="14.85546875" style="897" customWidth="1"/>
    <col min="37" max="16384" width="9.140625" style="897"/>
  </cols>
  <sheetData>
    <row r="1" spans="1:13" x14ac:dyDescent="0.2">
      <c r="A1" s="897" t="s">
        <v>25</v>
      </c>
      <c r="B1" s="1383"/>
    </row>
    <row r="2" spans="1:13" x14ac:dyDescent="0.2">
      <c r="A2" s="1383" t="s">
        <v>145</v>
      </c>
      <c r="B2" s="1384"/>
      <c r="C2" s="1383"/>
      <c r="D2" s="1383" t="s">
        <v>256</v>
      </c>
      <c r="E2" s="1383" t="s">
        <v>259</v>
      </c>
      <c r="F2" s="1383" t="s">
        <v>289</v>
      </c>
      <c r="G2" s="1383" t="s">
        <v>318</v>
      </c>
      <c r="H2" s="1383" t="s">
        <v>319</v>
      </c>
      <c r="I2" s="1383" t="s">
        <v>320</v>
      </c>
      <c r="J2" s="1383" t="s">
        <v>26</v>
      </c>
      <c r="K2" s="1383" t="s">
        <v>126</v>
      </c>
      <c r="L2" s="1383" t="s">
        <v>813</v>
      </c>
      <c r="M2" s="1383" t="s">
        <v>851</v>
      </c>
    </row>
    <row r="3" spans="1:13" x14ac:dyDescent="0.2">
      <c r="A3" s="1383" t="s">
        <v>188</v>
      </c>
      <c r="B3" s="1385">
        <v>40452</v>
      </c>
      <c r="C3" s="1386"/>
      <c r="D3" s="1386">
        <v>41548</v>
      </c>
      <c r="E3" s="1386">
        <v>41913</v>
      </c>
      <c r="F3" s="1386">
        <v>42278</v>
      </c>
      <c r="G3" s="1386">
        <v>42644</v>
      </c>
      <c r="H3" s="1386">
        <v>43009</v>
      </c>
      <c r="I3" s="1386">
        <v>43374</v>
      </c>
      <c r="J3" s="1386">
        <v>43739</v>
      </c>
      <c r="K3" s="1386">
        <v>44105</v>
      </c>
      <c r="L3" s="1386">
        <v>44470</v>
      </c>
      <c r="M3" s="1386">
        <v>44835</v>
      </c>
    </row>
    <row r="4" spans="1:13" s="1389" customFormat="1" x14ac:dyDescent="0.2">
      <c r="A4" s="1387" t="s">
        <v>163</v>
      </c>
      <c r="B4" s="1388">
        <v>2011</v>
      </c>
      <c r="C4" s="1387"/>
      <c r="D4" s="1387">
        <v>2014</v>
      </c>
      <c r="E4" s="1387">
        <f t="shared" ref="E4:M4" si="0">D4+1</f>
        <v>2015</v>
      </c>
      <c r="F4" s="1387">
        <f t="shared" si="0"/>
        <v>2016</v>
      </c>
      <c r="G4" s="1387">
        <f t="shared" si="0"/>
        <v>2017</v>
      </c>
      <c r="H4" s="1387">
        <f t="shared" si="0"/>
        <v>2018</v>
      </c>
      <c r="I4" s="1387">
        <f t="shared" si="0"/>
        <v>2019</v>
      </c>
      <c r="J4" s="1387">
        <f t="shared" si="0"/>
        <v>2020</v>
      </c>
      <c r="K4" s="1387">
        <f t="shared" si="0"/>
        <v>2021</v>
      </c>
      <c r="L4" s="1387">
        <f t="shared" si="0"/>
        <v>2022</v>
      </c>
      <c r="M4" s="1387">
        <f t="shared" si="0"/>
        <v>2023</v>
      </c>
    </row>
    <row r="7" spans="1:13" ht="15" x14ac:dyDescent="0.25">
      <c r="A7" s="1390" t="s">
        <v>397</v>
      </c>
      <c r="B7" s="1383"/>
      <c r="C7" s="1383"/>
      <c r="D7" s="1279"/>
      <c r="E7" s="737"/>
      <c r="F7" s="1279"/>
    </row>
    <row r="8" spans="1:13" x14ac:dyDescent="0.2">
      <c r="A8" s="737"/>
      <c r="B8" s="1383"/>
      <c r="C8" s="1383"/>
      <c r="D8" s="1383"/>
      <c r="E8" s="737"/>
      <c r="F8" s="1383"/>
      <c r="G8" s="1383"/>
      <c r="H8" s="1383"/>
      <c r="I8" s="1383"/>
      <c r="J8" s="1383"/>
    </row>
    <row r="9" spans="1:13" x14ac:dyDescent="0.2">
      <c r="A9" s="1391" t="s">
        <v>435</v>
      </c>
      <c r="B9" s="1383"/>
      <c r="C9" s="1392"/>
      <c r="D9" s="1392">
        <f>+D4</f>
        <v>2014</v>
      </c>
      <c r="E9" s="898"/>
      <c r="F9" s="898"/>
      <c r="G9" s="1393"/>
      <c r="H9" s="1393"/>
      <c r="I9" s="1393"/>
      <c r="J9" s="1383"/>
    </row>
    <row r="10" spans="1:13" x14ac:dyDescent="0.2">
      <c r="A10" s="1394" t="s">
        <v>398</v>
      </c>
      <c r="B10" s="1383"/>
      <c r="C10" s="1395"/>
      <c r="D10" s="1395">
        <v>228</v>
      </c>
      <c r="E10" s="898"/>
      <c r="F10" s="898"/>
      <c r="G10" s="1393"/>
      <c r="H10" s="1393"/>
      <c r="I10" s="1393"/>
      <c r="J10" s="1383"/>
    </row>
    <row r="11" spans="1:13" x14ac:dyDescent="0.2">
      <c r="A11" s="1394" t="s">
        <v>399</v>
      </c>
      <c r="B11" s="1383"/>
      <c r="C11" s="1395"/>
      <c r="D11" s="1395">
        <v>94</v>
      </c>
      <c r="E11" s="898"/>
      <c r="F11" s="898"/>
      <c r="G11" s="1393"/>
      <c r="H11" s="1393"/>
      <c r="I11" s="1393"/>
      <c r="J11" s="1383"/>
    </row>
    <row r="12" spans="1:13" x14ac:dyDescent="0.2">
      <c r="A12" s="1394" t="s">
        <v>400</v>
      </c>
      <c r="B12" s="1383"/>
      <c r="C12" s="1395"/>
      <c r="D12" s="1396">
        <f>+D13-D10-D11</f>
        <v>79</v>
      </c>
      <c r="E12" s="898"/>
      <c r="F12" s="898"/>
      <c r="G12" s="1393"/>
      <c r="H12" s="1393"/>
      <c r="I12" s="1393"/>
      <c r="J12" s="1383"/>
    </row>
    <row r="13" spans="1:13" x14ac:dyDescent="0.2">
      <c r="A13" s="1397" t="s">
        <v>650</v>
      </c>
      <c r="B13" s="1383"/>
      <c r="C13" s="1398"/>
      <c r="D13" s="1398">
        <v>401</v>
      </c>
      <c r="E13" s="1398"/>
      <c r="F13" s="1398"/>
      <c r="G13" s="1395"/>
      <c r="H13" s="1395"/>
      <c r="I13" s="1395"/>
      <c r="J13" s="1383"/>
    </row>
    <row r="14" spans="1:13" x14ac:dyDescent="0.2">
      <c r="A14" s="1397"/>
      <c r="B14" s="1383"/>
      <c r="C14" s="1398"/>
      <c r="D14" s="1398"/>
      <c r="E14" s="1398"/>
      <c r="G14" s="1395"/>
      <c r="H14" s="1395"/>
      <c r="I14" s="1395"/>
      <c r="J14" s="1383"/>
    </row>
    <row r="15" spans="1:13" x14ac:dyDescent="0.2">
      <c r="A15" s="1397" t="s">
        <v>916</v>
      </c>
      <c r="B15" s="1383"/>
      <c r="C15" s="1398"/>
      <c r="D15" s="1398">
        <v>87</v>
      </c>
      <c r="E15" s="1399">
        <f>+D15</f>
        <v>87</v>
      </c>
      <c r="F15" s="1399">
        <v>80</v>
      </c>
      <c r="G15" s="1399">
        <f t="shared" ref="G15:K15" si="1">+F15</f>
        <v>80</v>
      </c>
      <c r="H15" s="1399">
        <f t="shared" si="1"/>
        <v>80</v>
      </c>
      <c r="I15" s="1399">
        <f t="shared" si="1"/>
        <v>80</v>
      </c>
      <c r="J15" s="1399">
        <f t="shared" si="1"/>
        <v>80</v>
      </c>
      <c r="K15" s="1399">
        <f t="shared" si="1"/>
        <v>80</v>
      </c>
    </row>
    <row r="16" spans="1:13" x14ac:dyDescent="0.2">
      <c r="A16" s="1397" t="s">
        <v>949</v>
      </c>
      <c r="B16" s="1383"/>
      <c r="C16" s="1398"/>
      <c r="D16" s="1398"/>
      <c r="E16" s="1589"/>
      <c r="F16" s="1399">
        <v>14</v>
      </c>
      <c r="G16" s="1399">
        <f t="shared" ref="G16" si="2">+F16</f>
        <v>14</v>
      </c>
      <c r="H16" s="1399">
        <f t="shared" ref="H16" si="3">+G16</f>
        <v>14</v>
      </c>
      <c r="I16" s="1399">
        <f t="shared" ref="I16" si="4">+H16</f>
        <v>14</v>
      </c>
      <c r="J16" s="1399">
        <f t="shared" ref="J16" si="5">+I16</f>
        <v>14</v>
      </c>
      <c r="K16" s="1399">
        <f t="shared" ref="K16" si="6">+J16</f>
        <v>14</v>
      </c>
    </row>
    <row r="17" spans="1:12" x14ac:dyDescent="0.2">
      <c r="A17" s="1397"/>
      <c r="B17" s="1383"/>
      <c r="C17" s="1398"/>
      <c r="D17" s="898"/>
      <c r="E17" s="898"/>
      <c r="F17" s="898"/>
      <c r="G17" s="898"/>
      <c r="H17" s="898"/>
      <c r="I17" s="898"/>
      <c r="J17" s="898"/>
      <c r="K17" s="898"/>
    </row>
    <row r="18" spans="1:12" x14ac:dyDescent="0.2">
      <c r="A18" s="1397" t="s">
        <v>640</v>
      </c>
      <c r="B18" s="1383"/>
      <c r="C18" s="1398"/>
      <c r="D18" s="1400">
        <f>+'geg LO'!F25*tab!D13</f>
        <v>0</v>
      </c>
      <c r="E18" s="898"/>
      <c r="F18" s="898"/>
      <c r="G18" s="898"/>
      <c r="H18" s="898"/>
      <c r="I18" s="898"/>
      <c r="J18" s="898"/>
      <c r="K18" s="898"/>
    </row>
    <row r="19" spans="1:12" x14ac:dyDescent="0.2">
      <c r="A19" s="1397" t="s">
        <v>641</v>
      </c>
      <c r="B19" s="1383"/>
      <c r="C19" s="1398"/>
      <c r="D19" s="1400">
        <f>+'geg LO'!F24*tab!D15</f>
        <v>0</v>
      </c>
      <c r="E19" s="898"/>
      <c r="F19" s="898"/>
      <c r="G19" s="898"/>
      <c r="H19" s="898"/>
      <c r="I19" s="898"/>
      <c r="J19" s="898"/>
      <c r="K19" s="898"/>
    </row>
    <row r="20" spans="1:12" x14ac:dyDescent="0.2">
      <c r="A20" s="1397" t="s">
        <v>642</v>
      </c>
      <c r="B20" s="1383"/>
      <c r="C20" s="1398"/>
      <c r="D20" s="1449">
        <f>+(D18-D19)</f>
        <v>0</v>
      </c>
      <c r="E20" s="1449">
        <f>+D20*2/3</f>
        <v>0</v>
      </c>
      <c r="F20" s="1449">
        <f>+D20*1/3</f>
        <v>0</v>
      </c>
      <c r="G20" s="898"/>
      <c r="H20" s="898"/>
      <c r="I20" s="898"/>
      <c r="J20" s="898"/>
      <c r="K20" s="898"/>
    </row>
    <row r="21" spans="1:12" x14ac:dyDescent="0.2">
      <c r="A21" s="1402" t="s">
        <v>651</v>
      </c>
      <c r="B21" s="1383"/>
      <c r="C21" s="1580" t="s">
        <v>903</v>
      </c>
      <c r="D21" s="1401">
        <f>+D20*(1/2*2/3)</f>
        <v>0</v>
      </c>
      <c r="E21" s="1401">
        <f>+E20</f>
        <v>0</v>
      </c>
      <c r="F21" s="1401">
        <f>+F20</f>
        <v>0</v>
      </c>
      <c r="G21" s="898"/>
      <c r="H21" s="898"/>
      <c r="I21" s="898"/>
      <c r="J21" s="898"/>
      <c r="K21" s="898"/>
    </row>
    <row r="22" spans="1:12" x14ac:dyDescent="0.2">
      <c r="A22" s="1397"/>
      <c r="B22" s="1383"/>
      <c r="C22" s="1398"/>
      <c r="D22" s="898"/>
      <c r="E22" s="1583"/>
      <c r="F22" s="898"/>
      <c r="G22" s="898"/>
      <c r="H22" s="898"/>
      <c r="I22" s="898"/>
      <c r="J22" s="898"/>
      <c r="K22" s="898"/>
    </row>
    <row r="23" spans="1:12" x14ac:dyDescent="0.2">
      <c r="A23" s="1397" t="s">
        <v>917</v>
      </c>
      <c r="B23" s="1383"/>
      <c r="C23" s="1398"/>
      <c r="D23" s="1398"/>
      <c r="E23" s="1589"/>
      <c r="F23" s="1403">
        <v>4100.3900000000003</v>
      </c>
      <c r="G23" s="1403">
        <f>+F23</f>
        <v>4100.3900000000003</v>
      </c>
      <c r="H23" s="1403">
        <f t="shared" ref="H23:K23" si="7">+G23</f>
        <v>4100.3900000000003</v>
      </c>
      <c r="I23" s="1403">
        <f t="shared" si="7"/>
        <v>4100.3900000000003</v>
      </c>
      <c r="J23" s="1403">
        <f t="shared" si="7"/>
        <v>4100.3900000000003</v>
      </c>
      <c r="K23" s="1403">
        <f t="shared" si="7"/>
        <v>4100.3900000000003</v>
      </c>
    </row>
    <row r="24" spans="1:12" x14ac:dyDescent="0.2">
      <c r="A24" s="1397" t="s">
        <v>918</v>
      </c>
      <c r="B24" s="1383"/>
      <c r="C24" s="1398"/>
      <c r="D24" s="1398"/>
      <c r="E24" s="1589"/>
      <c r="F24" s="1403">
        <v>174.86</v>
      </c>
      <c r="G24" s="1403">
        <f>+F24</f>
        <v>174.86</v>
      </c>
      <c r="H24" s="1403">
        <f t="shared" ref="H24:K24" si="8">+G24</f>
        <v>174.86</v>
      </c>
      <c r="I24" s="1403">
        <f t="shared" si="8"/>
        <v>174.86</v>
      </c>
      <c r="J24" s="1403">
        <f t="shared" si="8"/>
        <v>174.86</v>
      </c>
      <c r="K24" s="1403">
        <f t="shared" si="8"/>
        <v>174.86</v>
      </c>
    </row>
    <row r="25" spans="1:12" x14ac:dyDescent="0.2">
      <c r="A25" s="1404"/>
      <c r="B25" s="1383"/>
      <c r="D25" s="1398"/>
      <c r="E25" s="1395"/>
      <c r="F25" s="1395"/>
      <c r="G25" s="1395"/>
      <c r="H25" s="1395"/>
      <c r="I25" s="1395"/>
      <c r="J25" s="1395"/>
      <c r="K25" s="1395"/>
    </row>
    <row r="26" spans="1:12" hidden="1" x14ac:dyDescent="0.2">
      <c r="A26" s="1397"/>
      <c r="B26" s="1383"/>
      <c r="C26" s="1398"/>
      <c r="D26" s="1405" t="s">
        <v>735</v>
      </c>
      <c r="E26" s="1406" t="s">
        <v>736</v>
      </c>
      <c r="F26" s="1395" t="s">
        <v>737</v>
      </c>
      <c r="G26" s="1395"/>
      <c r="H26" s="1395"/>
      <c r="I26" s="1395"/>
      <c r="J26" s="1395"/>
      <c r="K26" s="1395"/>
      <c r="L26" s="1395"/>
    </row>
    <row r="27" spans="1:12" hidden="1" x14ac:dyDescent="0.2">
      <c r="A27" s="1407" t="s">
        <v>616</v>
      </c>
      <c r="B27" s="1383"/>
      <c r="C27" s="1408">
        <f>ROUND((1/8.87-1/17.14),9)</f>
        <v>5.4396514E-2</v>
      </c>
      <c r="D27" s="938">
        <v>74077.289999999994</v>
      </c>
      <c r="E27" s="1409">
        <f>+C27*D27*(1-E$31)</f>
        <v>4029.5463425670596</v>
      </c>
      <c r="F27" s="1409">
        <f>+C27*D27*(1-F$31)</f>
        <v>3914.3174353550121</v>
      </c>
      <c r="G27" s="1410" t="s">
        <v>781</v>
      </c>
      <c r="H27" s="1395"/>
      <c r="I27" s="1395"/>
      <c r="J27" s="1395"/>
      <c r="K27" s="1383"/>
    </row>
    <row r="28" spans="1:12" hidden="1" x14ac:dyDescent="0.2">
      <c r="A28" s="1407" t="s">
        <v>617</v>
      </c>
      <c r="B28" s="1383"/>
      <c r="C28" s="1408">
        <f t="shared" ref="C28:C30" si="9">ROUND((1/8.87-1/17.14),9)</f>
        <v>5.4396514E-2</v>
      </c>
      <c r="D28" s="938">
        <v>84013.73</v>
      </c>
      <c r="E28" s="1409">
        <v>0</v>
      </c>
      <c r="F28" s="1409">
        <v>0</v>
      </c>
      <c r="G28" s="1410" t="s">
        <v>781</v>
      </c>
      <c r="H28" s="1395"/>
      <c r="I28" s="1395"/>
      <c r="J28" s="1395"/>
      <c r="K28" s="1383"/>
    </row>
    <row r="29" spans="1:12" hidden="1" x14ac:dyDescent="0.2">
      <c r="A29" s="1407" t="s">
        <v>618</v>
      </c>
      <c r="B29" s="1383"/>
      <c r="C29" s="1408">
        <f t="shared" si="9"/>
        <v>5.4396514E-2</v>
      </c>
      <c r="D29" s="938">
        <v>79909.36</v>
      </c>
      <c r="E29" s="1409">
        <f>+C29*D29*(1-E$31)</f>
        <v>4346.7906199710396</v>
      </c>
      <c r="F29" s="1409">
        <f>+C29*D29*(1-F$31)+0.01</f>
        <v>4222.4997954023484</v>
      </c>
      <c r="G29" s="1410" t="s">
        <v>781</v>
      </c>
      <c r="H29" s="1395"/>
      <c r="I29" s="1395"/>
      <c r="J29" s="1395"/>
      <c r="K29" s="1383"/>
    </row>
    <row r="30" spans="1:12" hidden="1" x14ac:dyDescent="0.2">
      <c r="A30" s="1407" t="s">
        <v>619</v>
      </c>
      <c r="B30" s="1383"/>
      <c r="C30" s="1408">
        <f t="shared" si="9"/>
        <v>5.4396514E-2</v>
      </c>
      <c r="D30" s="938">
        <v>76048.34</v>
      </c>
      <c r="E30" s="1409">
        <f>+C30*D30*(1-E$31)</f>
        <v>4136.7645914867599</v>
      </c>
      <c r="F30" s="1409">
        <f>+C30*D30*(1-F$31)+0.01</f>
        <v>4018.4796712286047</v>
      </c>
      <c r="G30" s="1410" t="s">
        <v>781</v>
      </c>
      <c r="H30" s="1395"/>
      <c r="I30" s="1395"/>
      <c r="J30" s="1395"/>
      <c r="K30" s="1383"/>
    </row>
    <row r="31" spans="1:12" s="898" customFormat="1" hidden="1" x14ac:dyDescent="0.2">
      <c r="E31" s="1255"/>
      <c r="F31" s="1256">
        <v>2.8596E-2</v>
      </c>
    </row>
    <row r="32" spans="1:12" s="898" customFormat="1" hidden="1" x14ac:dyDescent="0.2">
      <c r="E32" s="1255"/>
      <c r="F32" s="1255"/>
    </row>
    <row r="33" spans="1:46" x14ac:dyDescent="0.2">
      <c r="A33" s="1397" t="s">
        <v>919</v>
      </c>
      <c r="B33" s="1383"/>
      <c r="C33" s="1383"/>
      <c r="D33" s="1383"/>
      <c r="E33" s="1589"/>
      <c r="F33" s="1403">
        <v>4100.3900000000003</v>
      </c>
      <c r="G33" s="938">
        <f>+F33</f>
        <v>4100.3900000000003</v>
      </c>
      <c r="H33" s="938">
        <f t="shared" ref="H33:K33" si="10">+G33</f>
        <v>4100.3900000000003</v>
      </c>
      <c r="I33" s="938">
        <f t="shared" si="10"/>
        <v>4100.3900000000003</v>
      </c>
      <c r="J33" s="938">
        <f t="shared" si="10"/>
        <v>4100.3900000000003</v>
      </c>
      <c r="K33" s="938">
        <f t="shared" si="10"/>
        <v>4100.3900000000003</v>
      </c>
    </row>
    <row r="34" spans="1:46" x14ac:dyDescent="0.2">
      <c r="A34" s="1397" t="s">
        <v>920</v>
      </c>
      <c r="B34" s="1383"/>
      <c r="C34" s="1383"/>
      <c r="D34" s="1383"/>
      <c r="E34" s="1589"/>
      <c r="F34" s="1403">
        <v>174.86</v>
      </c>
      <c r="G34" s="938">
        <f>+F34</f>
        <v>174.86</v>
      </c>
      <c r="H34" s="938">
        <f t="shared" ref="H34:K34" si="11">+G34</f>
        <v>174.86</v>
      </c>
      <c r="I34" s="938">
        <f t="shared" si="11"/>
        <v>174.86</v>
      </c>
      <c r="J34" s="938">
        <f t="shared" si="11"/>
        <v>174.86</v>
      </c>
      <c r="K34" s="938">
        <f t="shared" si="11"/>
        <v>174.86</v>
      </c>
    </row>
    <row r="35" spans="1:46" x14ac:dyDescent="0.2">
      <c r="A35" s="1404"/>
      <c r="B35" s="1383"/>
      <c r="C35" s="1383"/>
      <c r="D35" s="1383"/>
      <c r="E35" s="1383"/>
      <c r="F35" s="1593">
        <f>SUM(F33:F34)</f>
        <v>4275.25</v>
      </c>
      <c r="G35" s="1593">
        <f t="shared" ref="G35:K35" si="12">SUM(G33:G34)</f>
        <v>4275.25</v>
      </c>
      <c r="H35" s="1593">
        <f t="shared" si="12"/>
        <v>4275.25</v>
      </c>
      <c r="I35" s="1593">
        <f t="shared" si="12"/>
        <v>4275.25</v>
      </c>
      <c r="J35" s="1593">
        <f t="shared" si="12"/>
        <v>4275.25</v>
      </c>
      <c r="K35" s="1593">
        <f t="shared" si="12"/>
        <v>4275.25</v>
      </c>
    </row>
    <row r="37" spans="1:46" ht="15" x14ac:dyDescent="0.25">
      <c r="A37" s="1390" t="s">
        <v>287</v>
      </c>
      <c r="M37" s="1523"/>
      <c r="N37" s="1524"/>
      <c r="O37" s="1525"/>
      <c r="W37" s="1413"/>
      <c r="X37" s="1413"/>
      <c r="Y37" s="1413"/>
      <c r="Z37" s="1413"/>
      <c r="AA37" s="1413"/>
      <c r="AB37" s="1413"/>
      <c r="AC37" s="1413"/>
      <c r="AD37" s="1413"/>
      <c r="AE37" s="1413"/>
      <c r="AF37" s="1413"/>
      <c r="AG37" s="1413"/>
      <c r="AH37" s="1413"/>
      <c r="AI37" s="1413"/>
      <c r="AJ37" s="1413"/>
      <c r="AK37" s="1413"/>
      <c r="AL37" s="1413"/>
      <c r="AM37" s="1413"/>
      <c r="AN37" s="1413"/>
      <c r="AO37" s="1413"/>
      <c r="AP37" s="1413"/>
      <c r="AQ37" s="1413"/>
      <c r="AR37" s="1413"/>
      <c r="AS37" s="1413"/>
      <c r="AT37" s="1413"/>
    </row>
    <row r="38" spans="1:46" x14ac:dyDescent="0.2">
      <c r="A38" s="1412" t="s">
        <v>386</v>
      </c>
      <c r="C38" s="897" t="s">
        <v>2</v>
      </c>
      <c r="D38" s="1411" t="str">
        <f t="shared" ref="D38:J38" si="13">+D2</f>
        <v>2014/15</v>
      </c>
      <c r="E38" s="1411" t="str">
        <f t="shared" si="13"/>
        <v>2015/16</v>
      </c>
      <c r="F38" s="1411" t="str">
        <f t="shared" si="13"/>
        <v>2016/17</v>
      </c>
      <c r="G38" s="1411" t="str">
        <f t="shared" si="13"/>
        <v>2017/18</v>
      </c>
      <c r="H38" s="1411" t="str">
        <f t="shared" si="13"/>
        <v>2018/19</v>
      </c>
      <c r="I38" s="1411" t="str">
        <f t="shared" si="13"/>
        <v>2019/20</v>
      </c>
      <c r="J38" s="1411" t="str">
        <f t="shared" si="13"/>
        <v>2020/21</v>
      </c>
      <c r="K38" s="1411"/>
      <c r="L38" s="1526"/>
      <c r="M38" s="1527"/>
      <c r="N38" s="1527"/>
      <c r="U38" s="1413"/>
      <c r="V38" s="1413"/>
      <c r="W38" s="1413"/>
      <c r="X38" s="1413"/>
      <c r="Y38" s="1413"/>
      <c r="Z38" s="1413"/>
      <c r="AA38" s="1413"/>
      <c r="AB38" s="1413"/>
      <c r="AC38" s="1413"/>
      <c r="AD38" s="1413"/>
      <c r="AE38" s="1413"/>
      <c r="AF38" s="1413"/>
      <c r="AG38" s="1413"/>
      <c r="AH38" s="1413"/>
      <c r="AI38" s="1413"/>
      <c r="AJ38" s="1413"/>
      <c r="AK38" s="1413"/>
      <c r="AL38" s="1413"/>
      <c r="AM38" s="1413"/>
      <c r="AN38" s="1413"/>
      <c r="AO38" s="1413"/>
      <c r="AP38" s="1413"/>
      <c r="AQ38" s="1413"/>
      <c r="AR38" s="1413"/>
    </row>
    <row r="39" spans="1:46" s="1412" customFormat="1" x14ac:dyDescent="0.2">
      <c r="A39" s="1412" t="s">
        <v>425</v>
      </c>
      <c r="C39" s="1416">
        <v>7.9299999999999995E-3</v>
      </c>
      <c r="D39" s="1418">
        <v>16.649999999999999</v>
      </c>
      <c r="E39" s="1586">
        <f>ROUND($C39*E89+7.7-2.01+0.21,2)</f>
        <v>512.95000000000005</v>
      </c>
      <c r="F39" s="1586">
        <v>518.48</v>
      </c>
      <c r="G39" s="1586">
        <v>518.79</v>
      </c>
      <c r="H39" s="1586">
        <v>519.36</v>
      </c>
      <c r="I39" s="1586">
        <v>519.36</v>
      </c>
      <c r="J39" s="1586">
        <v>519.36</v>
      </c>
      <c r="K39" s="1418"/>
      <c r="L39" s="1528"/>
      <c r="M39" s="1529"/>
      <c r="N39" s="1530"/>
      <c r="T39" s="1587"/>
      <c r="U39" s="1587"/>
      <c r="V39" s="1587"/>
      <c r="W39" s="1587"/>
      <c r="X39" s="1587"/>
      <c r="Y39" s="1587"/>
      <c r="Z39" s="1587"/>
      <c r="AA39" s="1587"/>
      <c r="AB39" s="1587"/>
      <c r="AC39" s="1587"/>
      <c r="AD39" s="1587"/>
      <c r="AE39" s="1587"/>
      <c r="AF39" s="1587"/>
      <c r="AG39" s="1587"/>
      <c r="AH39" s="1587"/>
      <c r="AI39" s="1587"/>
      <c r="AJ39" s="1587"/>
      <c r="AK39" s="1587"/>
      <c r="AL39" s="1587"/>
      <c r="AM39" s="1587"/>
      <c r="AN39" s="1587"/>
      <c r="AO39" s="1587"/>
      <c r="AP39" s="1587"/>
      <c r="AQ39" s="1587"/>
    </row>
    <row r="40" spans="1:46" x14ac:dyDescent="0.2">
      <c r="D40" s="1417"/>
      <c r="E40" s="1536">
        <f>$C39*E89</f>
        <v>507.05371599999995</v>
      </c>
      <c r="F40" s="1536">
        <f t="shared" ref="F40" si="14">$C39*F89</f>
        <v>508.20983069999994</v>
      </c>
      <c r="G40" s="1536">
        <f>$C39*$G89</f>
        <v>508.20983069999994</v>
      </c>
      <c r="H40" s="1536">
        <f t="shared" ref="H40:J40" si="15">$C39*$G89</f>
        <v>508.20983069999994</v>
      </c>
      <c r="I40" s="1536">
        <f t="shared" si="15"/>
        <v>508.20983069999994</v>
      </c>
      <c r="J40" s="1536">
        <f t="shared" si="15"/>
        <v>508.20983069999994</v>
      </c>
      <c r="Q40" s="1413"/>
      <c r="R40" s="1413"/>
      <c r="S40" s="1413"/>
      <c r="T40" s="1413"/>
      <c r="U40" s="1413"/>
      <c r="V40" s="1413"/>
      <c r="W40" s="1413"/>
      <c r="X40" s="1413"/>
      <c r="Y40" s="1413"/>
      <c r="Z40" s="1413"/>
      <c r="AA40" s="1413"/>
      <c r="AB40" s="1413"/>
      <c r="AC40" s="1413"/>
      <c r="AD40" s="1413"/>
      <c r="AE40" s="1413"/>
      <c r="AF40" s="1413"/>
      <c r="AG40" s="1413"/>
      <c r="AH40" s="1413"/>
      <c r="AI40" s="1413"/>
      <c r="AJ40" s="1413"/>
      <c r="AK40" s="1413"/>
      <c r="AL40" s="1413"/>
      <c r="AM40" s="1413"/>
      <c r="AN40" s="1413"/>
    </row>
    <row r="41" spans="1:46" x14ac:dyDescent="0.2">
      <c r="A41" s="1412" t="s">
        <v>387</v>
      </c>
      <c r="D41" s="1419">
        <f t="shared" ref="D41:J41" si="16">+D4</f>
        <v>2014</v>
      </c>
      <c r="E41" s="1419">
        <f t="shared" si="16"/>
        <v>2015</v>
      </c>
      <c r="F41" s="1419">
        <f t="shared" si="16"/>
        <v>2016</v>
      </c>
      <c r="G41" s="1419">
        <f t="shared" si="16"/>
        <v>2017</v>
      </c>
      <c r="H41" s="1419">
        <f t="shared" si="16"/>
        <v>2018</v>
      </c>
      <c r="I41" s="1419">
        <f t="shared" si="16"/>
        <v>2019</v>
      </c>
      <c r="J41" s="1419">
        <f t="shared" si="16"/>
        <v>2020</v>
      </c>
      <c r="Q41" s="1413"/>
      <c r="R41" s="1413"/>
      <c r="S41" s="1413"/>
      <c r="T41" s="1413"/>
      <c r="U41" s="1413"/>
      <c r="V41" s="1413"/>
      <c r="W41" s="1413"/>
      <c r="X41" s="1413"/>
      <c r="Y41" s="1413"/>
      <c r="Z41" s="1413"/>
      <c r="AA41" s="1413"/>
      <c r="AB41" s="1413"/>
      <c r="AC41" s="1413"/>
      <c r="AD41" s="1413"/>
      <c r="AE41" s="1413"/>
      <c r="AF41" s="1413"/>
      <c r="AG41" s="1413"/>
      <c r="AH41" s="1413"/>
      <c r="AI41" s="1413"/>
      <c r="AJ41" s="1413"/>
      <c r="AK41" s="1413"/>
      <c r="AL41" s="1413"/>
      <c r="AM41" s="1413"/>
      <c r="AN41" s="1413"/>
      <c r="AO41" s="1383"/>
      <c r="AP41" s="1383"/>
      <c r="AQ41" s="1383"/>
      <c r="AR41" s="1383"/>
      <c r="AS41" s="1383"/>
    </row>
    <row r="42" spans="1:46" s="1412" customFormat="1" x14ac:dyDescent="0.2">
      <c r="A42" s="1412" t="s">
        <v>425</v>
      </c>
      <c r="D42" s="1420">
        <v>0.10833333333333334</v>
      </c>
      <c r="E42" s="1420">
        <v>27.12</v>
      </c>
      <c r="F42" s="1420">
        <v>28.36</v>
      </c>
      <c r="G42" s="1420">
        <v>28.36</v>
      </c>
      <c r="H42" s="1420">
        <v>28.36</v>
      </c>
      <c r="I42" s="1420">
        <v>28.36</v>
      </c>
      <c r="J42" s="1420">
        <v>28.36</v>
      </c>
      <c r="L42" s="1632"/>
      <c r="M42" s="1633"/>
      <c r="Q42" s="1587"/>
      <c r="R42" s="1587"/>
      <c r="S42" s="1587"/>
      <c r="T42" s="1587"/>
      <c r="U42" s="1587"/>
      <c r="V42" s="1587"/>
      <c r="W42" s="1587"/>
      <c r="X42" s="1587"/>
      <c r="Y42" s="1587"/>
      <c r="Z42" s="1587"/>
      <c r="AA42" s="1587"/>
      <c r="AB42" s="1587"/>
      <c r="AC42" s="1587"/>
      <c r="AD42" s="1587"/>
      <c r="AE42" s="1587"/>
      <c r="AF42" s="1587"/>
      <c r="AG42" s="1587"/>
      <c r="AH42" s="1587"/>
      <c r="AI42" s="1587"/>
      <c r="AJ42" s="1587"/>
      <c r="AK42" s="1587"/>
      <c r="AL42" s="1587"/>
      <c r="AM42" s="1587"/>
      <c r="AN42" s="1587"/>
      <c r="AO42" s="1588"/>
      <c r="AP42" s="1588"/>
      <c r="AQ42" s="1588"/>
      <c r="AR42" s="1588"/>
    </row>
    <row r="43" spans="1:46" x14ac:dyDescent="0.2">
      <c r="Q43" s="1413"/>
      <c r="R43" s="1413"/>
      <c r="S43" s="1413"/>
      <c r="T43" s="1413"/>
      <c r="U43" s="1413"/>
      <c r="V43" s="1413"/>
      <c r="W43" s="1413"/>
      <c r="X43" s="1413"/>
      <c r="Y43" s="1413"/>
      <c r="Z43" s="1413"/>
      <c r="AA43" s="1413"/>
      <c r="AB43" s="1413"/>
      <c r="AC43" s="1413"/>
      <c r="AD43" s="1413"/>
      <c r="AE43" s="1413"/>
      <c r="AF43" s="1413"/>
      <c r="AG43" s="1413"/>
      <c r="AH43" s="1413"/>
      <c r="AI43" s="1413"/>
      <c r="AJ43" s="1413"/>
      <c r="AK43" s="1413"/>
      <c r="AL43" s="1413"/>
      <c r="AM43" s="1413"/>
      <c r="AN43" s="1413"/>
      <c r="AO43" s="898"/>
      <c r="AP43" s="898"/>
      <c r="AQ43" s="898"/>
      <c r="AR43" s="898"/>
    </row>
    <row r="44" spans="1:46" x14ac:dyDescent="0.2">
      <c r="A44" s="1412" t="s">
        <v>655</v>
      </c>
      <c r="E44" s="897" t="s">
        <v>549</v>
      </c>
      <c r="F44" s="897" t="s">
        <v>550</v>
      </c>
      <c r="Q44" s="1413"/>
      <c r="R44" s="1413"/>
      <c r="S44" s="1413"/>
      <c r="T44" s="1413"/>
      <c r="U44" s="1413"/>
      <c r="V44" s="1413"/>
      <c r="W44" s="1413"/>
      <c r="X44" s="1413"/>
      <c r="Y44" s="1413"/>
      <c r="Z44" s="1413"/>
      <c r="AA44" s="1413"/>
      <c r="AB44" s="1413"/>
      <c r="AC44" s="1413"/>
      <c r="AD44" s="1413"/>
      <c r="AE44" s="1413"/>
      <c r="AF44" s="1413"/>
      <c r="AG44" s="1413"/>
      <c r="AH44" s="1413"/>
      <c r="AI44" s="1413"/>
      <c r="AJ44" s="1413"/>
      <c r="AK44" s="1413"/>
      <c r="AL44" s="1413"/>
      <c r="AM44" s="1413"/>
      <c r="AN44" s="1413"/>
      <c r="AO44" s="898"/>
      <c r="AP44" s="898"/>
      <c r="AQ44" s="898"/>
      <c r="AR44" s="898"/>
    </row>
    <row r="45" spans="1:46" x14ac:dyDescent="0.2">
      <c r="A45" s="897" t="s">
        <v>381</v>
      </c>
      <c r="E45" s="1421">
        <f>'geg ZO'!I12</f>
        <v>0</v>
      </c>
      <c r="F45" s="1421">
        <f>'geg ZO'!J12</f>
        <v>0</v>
      </c>
      <c r="Q45" s="1413"/>
      <c r="R45" s="1413"/>
      <c r="S45" s="1413"/>
      <c r="T45" s="1413"/>
      <c r="U45" s="1413"/>
      <c r="V45" s="1413"/>
      <c r="W45" s="1413"/>
      <c r="X45" s="1413"/>
      <c r="Y45" s="1413"/>
      <c r="Z45" s="1413"/>
      <c r="AA45" s="1413"/>
      <c r="AB45" s="1413"/>
      <c r="AC45" s="1413"/>
      <c r="AD45" s="1413"/>
      <c r="AE45" s="1413"/>
      <c r="AF45" s="1413"/>
      <c r="AG45" s="1413"/>
      <c r="AH45" s="1413"/>
      <c r="AI45" s="1413"/>
      <c r="AJ45" s="1413"/>
      <c r="AK45" s="1413"/>
      <c r="AL45" s="1413"/>
      <c r="AM45" s="1413"/>
      <c r="AN45" s="1413"/>
      <c r="AO45" s="898"/>
      <c r="AP45" s="898"/>
      <c r="AQ45" s="898"/>
      <c r="AR45" s="898"/>
    </row>
    <row r="46" spans="1:46" x14ac:dyDescent="0.2">
      <c r="A46" s="897" t="s">
        <v>389</v>
      </c>
      <c r="E46" s="1421">
        <f>'geg ZO'!I13</f>
        <v>0</v>
      </c>
      <c r="F46" s="1421">
        <f>'geg ZO'!J13</f>
        <v>0</v>
      </c>
      <c r="Q46" s="1413"/>
      <c r="R46" s="1413"/>
      <c r="S46" s="1413"/>
      <c r="T46" s="1413"/>
      <c r="U46" s="1413"/>
      <c r="V46" s="1413"/>
      <c r="W46" s="1413"/>
      <c r="X46" s="1413"/>
      <c r="Y46" s="1413"/>
      <c r="Z46" s="1413"/>
      <c r="AA46" s="1413"/>
      <c r="AB46" s="1413"/>
      <c r="AC46" s="1413"/>
      <c r="AD46" s="1413"/>
      <c r="AE46" s="1413"/>
      <c r="AF46" s="1413"/>
      <c r="AG46" s="1413"/>
      <c r="AH46" s="1413"/>
      <c r="AI46" s="1413"/>
      <c r="AJ46" s="1413"/>
      <c r="AK46" s="1413"/>
      <c r="AL46" s="1413"/>
      <c r="AM46" s="1413"/>
      <c r="AN46" s="1413"/>
      <c r="AO46" s="898"/>
      <c r="AP46" s="898"/>
      <c r="AQ46" s="898"/>
      <c r="AR46" s="898"/>
    </row>
    <row r="47" spans="1:46" x14ac:dyDescent="0.2">
      <c r="A47" s="897" t="s">
        <v>62</v>
      </c>
      <c r="E47" s="1421">
        <f>IF(E45&gt;E46,E45-E46,0)</f>
        <v>0</v>
      </c>
      <c r="F47" s="1421">
        <f>IF(F45&gt;F46,F45-F46,0)</f>
        <v>0</v>
      </c>
      <c r="Q47" s="1413"/>
      <c r="R47" s="1413"/>
      <c r="S47" s="1413"/>
      <c r="T47" s="1413"/>
      <c r="U47" s="1413"/>
      <c r="V47" s="1413"/>
      <c r="W47" s="1413"/>
      <c r="X47" s="1413"/>
      <c r="Y47" s="1413"/>
      <c r="Z47" s="1413"/>
      <c r="AA47" s="1413"/>
      <c r="AB47" s="1413"/>
      <c r="AC47" s="1413"/>
      <c r="AD47" s="1413"/>
      <c r="AE47" s="1413"/>
      <c r="AF47" s="1413"/>
      <c r="AG47" s="1413"/>
      <c r="AH47" s="1413"/>
      <c r="AI47" s="1413"/>
      <c r="AJ47" s="1413"/>
      <c r="AK47" s="1413"/>
      <c r="AL47" s="1413"/>
      <c r="AM47" s="1413"/>
      <c r="AN47" s="1413"/>
      <c r="AO47" s="898"/>
      <c r="AP47" s="898"/>
      <c r="AQ47" s="898"/>
      <c r="AR47" s="898"/>
    </row>
    <row r="48" spans="1:46" x14ac:dyDescent="0.2">
      <c r="A48" s="897" t="s">
        <v>61</v>
      </c>
      <c r="E48" s="1421">
        <f>IF(E45&lt;E46,E46-E45,0)</f>
        <v>0</v>
      </c>
      <c r="F48" s="1421">
        <f>IF(F45&lt;F46,F46-F45,0)</f>
        <v>0</v>
      </c>
      <c r="Q48" s="1413"/>
      <c r="R48" s="1413"/>
      <c r="S48" s="1413"/>
      <c r="T48" s="1413"/>
      <c r="U48" s="1413"/>
      <c r="V48" s="1413"/>
      <c r="W48" s="1413"/>
      <c r="X48" s="1413"/>
      <c r="Y48" s="1413"/>
      <c r="Z48" s="1413"/>
      <c r="AA48" s="1413"/>
      <c r="AB48" s="1413"/>
      <c r="AC48" s="1413"/>
      <c r="AD48" s="1413"/>
      <c r="AE48" s="1413"/>
      <c r="AF48" s="1413"/>
      <c r="AG48" s="1413"/>
      <c r="AH48" s="1413"/>
      <c r="AI48" s="1413"/>
      <c r="AJ48" s="1413"/>
      <c r="AK48" s="1413"/>
      <c r="AL48" s="1413"/>
      <c r="AM48" s="1413"/>
      <c r="AN48" s="1413"/>
      <c r="AO48" s="898"/>
      <c r="AP48" s="898"/>
      <c r="AQ48" s="898"/>
      <c r="AR48" s="898"/>
    </row>
    <row r="49" spans="1:45" x14ac:dyDescent="0.2">
      <c r="A49" s="897" t="s">
        <v>74</v>
      </c>
      <c r="E49" s="1422">
        <f>+E46-E45</f>
        <v>0</v>
      </c>
      <c r="F49" s="1422">
        <f>+F46-F45</f>
        <v>0</v>
      </c>
      <c r="Q49" s="1413"/>
      <c r="R49" s="1413"/>
      <c r="S49" s="1413"/>
      <c r="T49" s="1413"/>
      <c r="U49" s="1413"/>
      <c r="V49" s="1413"/>
      <c r="W49" s="1413"/>
      <c r="X49" s="1413"/>
      <c r="Y49" s="1413"/>
      <c r="Z49" s="1413"/>
      <c r="AA49" s="1413"/>
      <c r="AB49" s="1413"/>
      <c r="AC49" s="1413"/>
      <c r="AD49" s="1413"/>
      <c r="AE49" s="1413"/>
      <c r="AF49" s="1413"/>
      <c r="AG49" s="1413"/>
      <c r="AH49" s="1413"/>
      <c r="AI49" s="1413"/>
      <c r="AJ49" s="1413"/>
      <c r="AK49" s="1413"/>
      <c r="AL49" s="1413"/>
      <c r="AM49" s="1413"/>
      <c r="AN49" s="1413"/>
      <c r="AO49" s="898"/>
      <c r="AP49" s="898"/>
      <c r="AQ49" s="898"/>
      <c r="AR49" s="898"/>
    </row>
    <row r="50" spans="1:45" x14ac:dyDescent="0.2">
      <c r="E50" s="1423">
        <v>1</v>
      </c>
      <c r="F50" s="1257" t="s">
        <v>738</v>
      </c>
      <c r="G50" s="1257" t="s">
        <v>739</v>
      </c>
      <c r="H50" s="1424">
        <v>0.6</v>
      </c>
      <c r="I50" s="1424">
        <v>0.3</v>
      </c>
      <c r="J50" s="1424">
        <v>0</v>
      </c>
      <c r="Q50" s="1413"/>
      <c r="R50" s="1413"/>
      <c r="S50" s="1413"/>
      <c r="T50" s="1413"/>
      <c r="U50" s="1413"/>
      <c r="V50" s="1413"/>
      <c r="W50" s="1413"/>
      <c r="X50" s="1413"/>
      <c r="Y50" s="1413"/>
      <c r="Z50" s="1413"/>
      <c r="AA50" s="1413"/>
      <c r="AB50" s="1413"/>
      <c r="AC50" s="1413"/>
      <c r="AD50" s="1413"/>
      <c r="AE50" s="1413"/>
      <c r="AF50" s="1413"/>
      <c r="AG50" s="1413"/>
      <c r="AH50" s="1413"/>
      <c r="AI50" s="1413"/>
      <c r="AJ50" s="1413"/>
      <c r="AK50" s="1413"/>
      <c r="AL50" s="1413"/>
      <c r="AM50" s="1413"/>
      <c r="AN50" s="1413"/>
      <c r="AO50" s="898"/>
      <c r="AP50" s="898"/>
      <c r="AQ50" s="898"/>
      <c r="AR50" s="898"/>
    </row>
    <row r="51" spans="1:45" x14ac:dyDescent="0.2">
      <c r="E51" s="1423"/>
      <c r="F51" s="1257"/>
      <c r="G51" s="1257"/>
      <c r="H51" s="1685"/>
      <c r="I51" s="1685"/>
      <c r="J51" s="1685"/>
      <c r="Q51" s="1413"/>
      <c r="R51" s="1413"/>
      <c r="S51" s="1413"/>
      <c r="T51" s="1413"/>
      <c r="U51" s="1413"/>
      <c r="V51" s="1413"/>
      <c r="W51" s="1413"/>
      <c r="X51" s="1413"/>
      <c r="Y51" s="1413"/>
      <c r="Z51" s="1413"/>
      <c r="AA51" s="1413"/>
      <c r="AB51" s="1413"/>
      <c r="AC51" s="1413"/>
      <c r="AD51" s="1413"/>
      <c r="AE51" s="1413"/>
      <c r="AF51" s="1413"/>
      <c r="AG51" s="1413"/>
      <c r="AH51" s="1413"/>
      <c r="AI51" s="1413"/>
      <c r="AJ51" s="1413"/>
      <c r="AK51" s="1413"/>
      <c r="AL51" s="1413"/>
      <c r="AM51" s="1413"/>
      <c r="AN51" s="1413"/>
      <c r="AO51" s="898"/>
      <c r="AP51" s="898"/>
      <c r="AQ51" s="898"/>
      <c r="AR51" s="898"/>
    </row>
    <row r="52" spans="1:45" x14ac:dyDescent="0.2">
      <c r="E52" s="1423" t="str">
        <f>E2</f>
        <v>2015/16</v>
      </c>
      <c r="F52" s="1423" t="str">
        <f t="shared" ref="F52:J52" si="17">F2</f>
        <v>2016/17</v>
      </c>
      <c r="G52" s="1423" t="str">
        <f t="shared" si="17"/>
        <v>2017/18</v>
      </c>
      <c r="H52" s="1423" t="str">
        <f t="shared" si="17"/>
        <v>2018/19</v>
      </c>
      <c r="I52" s="1423" t="str">
        <f t="shared" si="17"/>
        <v>2019/20</v>
      </c>
      <c r="J52" s="1423" t="str">
        <f t="shared" si="17"/>
        <v>2020/21</v>
      </c>
      <c r="Q52" s="1413"/>
      <c r="R52" s="1413"/>
      <c r="S52" s="1413"/>
      <c r="T52" s="1413"/>
      <c r="U52" s="1413"/>
      <c r="V52" s="1413"/>
      <c r="W52" s="1413"/>
      <c r="X52" s="1413"/>
      <c r="Y52" s="1413"/>
      <c r="Z52" s="1413"/>
      <c r="AA52" s="1413"/>
      <c r="AB52" s="1413"/>
      <c r="AC52" s="1413"/>
      <c r="AD52" s="1413"/>
      <c r="AE52" s="1413"/>
      <c r="AF52" s="1413"/>
      <c r="AG52" s="1413"/>
      <c r="AH52" s="1413"/>
      <c r="AI52" s="1413"/>
      <c r="AJ52" s="1413"/>
      <c r="AK52" s="1413"/>
      <c r="AL52" s="1413"/>
      <c r="AM52" s="1413"/>
      <c r="AN52" s="1413"/>
      <c r="AO52" s="898"/>
      <c r="AP52" s="898"/>
      <c r="AQ52" s="898"/>
      <c r="AR52" s="898"/>
    </row>
    <row r="53" spans="1:45" x14ac:dyDescent="0.2">
      <c r="A53" s="897" t="s">
        <v>74</v>
      </c>
      <c r="C53" s="897" t="s">
        <v>145</v>
      </c>
      <c r="D53" s="1412" t="s">
        <v>549</v>
      </c>
      <c r="E53" s="1422">
        <f>+$E49*E50</f>
        <v>0</v>
      </c>
      <c r="F53" s="1422">
        <f>+$E55*IF($E55&gt;0,0.95,0.9)</f>
        <v>0</v>
      </c>
      <c r="G53" s="1422">
        <f>+$E55*IF($E55&gt;0,0.8,0.75)</f>
        <v>0</v>
      </c>
      <c r="H53" s="1422">
        <f>+$E55*H50</f>
        <v>0</v>
      </c>
      <c r="I53" s="1422">
        <f>+$E55*I50</f>
        <v>0</v>
      </c>
      <c r="J53" s="1422">
        <f>+$E49*J50</f>
        <v>0</v>
      </c>
      <c r="Q53" s="1413"/>
      <c r="R53" s="1413"/>
      <c r="S53" s="1413"/>
      <c r="T53" s="1413"/>
      <c r="U53" s="1413"/>
      <c r="V53" s="1413"/>
      <c r="W53" s="1413"/>
      <c r="X53" s="1413"/>
      <c r="Y53" s="1413"/>
      <c r="Z53" s="1413"/>
      <c r="AA53" s="1413"/>
      <c r="AB53" s="1413"/>
      <c r="AC53" s="1413"/>
      <c r="AD53" s="1413"/>
      <c r="AE53" s="1413"/>
      <c r="AF53" s="1413"/>
      <c r="AG53" s="1413"/>
      <c r="AH53" s="1413"/>
      <c r="AI53" s="1413"/>
      <c r="AJ53" s="1413"/>
      <c r="AK53" s="1413"/>
      <c r="AL53" s="1413"/>
      <c r="AM53" s="1413"/>
      <c r="AN53" s="1413"/>
      <c r="AO53" s="898"/>
      <c r="AP53" s="898"/>
      <c r="AQ53" s="898"/>
      <c r="AR53" s="898"/>
    </row>
    <row r="54" spans="1:45" x14ac:dyDescent="0.2">
      <c r="D54" s="897" t="s">
        <v>581</v>
      </c>
      <c r="E54" s="1591">
        <v>3.3149999999999999E-2</v>
      </c>
      <c r="F54" s="1592">
        <v>2.2799999999999999E-3</v>
      </c>
      <c r="G54" s="1592">
        <v>0</v>
      </c>
      <c r="H54" s="1592">
        <v>0</v>
      </c>
      <c r="I54" s="1592">
        <v>0</v>
      </c>
      <c r="J54" s="1425"/>
      <c r="Q54" s="1413"/>
      <c r="R54" s="1413"/>
      <c r="S54" s="1413"/>
      <c r="T54" s="1413"/>
      <c r="U54" s="1413"/>
      <c r="V54" s="1413"/>
      <c r="W54" s="1413"/>
      <c r="X54" s="1413"/>
      <c r="Y54" s="1413"/>
      <c r="Z54" s="1413"/>
      <c r="AA54" s="1413"/>
      <c r="AB54" s="1413"/>
      <c r="AC54" s="1413"/>
      <c r="AD54" s="1413"/>
      <c r="AE54" s="1413"/>
      <c r="AF54" s="1413"/>
      <c r="AG54" s="1413"/>
      <c r="AH54" s="1413"/>
      <c r="AI54" s="1413"/>
      <c r="AJ54" s="1413"/>
      <c r="AK54" s="1413"/>
      <c r="AL54" s="1413"/>
      <c r="AM54" s="1413"/>
      <c r="AN54" s="1413"/>
      <c r="AO54" s="898"/>
      <c r="AP54" s="898"/>
      <c r="AQ54" s="898"/>
      <c r="AR54" s="898"/>
    </row>
    <row r="55" spans="1:45" x14ac:dyDescent="0.2">
      <c r="D55" s="1426" t="s">
        <v>582</v>
      </c>
      <c r="E55" s="1427">
        <f>ROUND(+E53*(1+E54),2)</f>
        <v>0</v>
      </c>
      <c r="F55" s="1427">
        <f>ROUND(+F53*(1+F54),2)</f>
        <v>0</v>
      </c>
      <c r="G55" s="1427">
        <f t="shared" ref="G55:I55" si="18">ROUND(+G53*(1+G54),2)</f>
        <v>0</v>
      </c>
      <c r="H55" s="1427">
        <f t="shared" si="18"/>
        <v>0</v>
      </c>
      <c r="I55" s="1427">
        <f t="shared" si="18"/>
        <v>0</v>
      </c>
      <c r="J55" s="1427"/>
      <c r="Q55" s="1413"/>
      <c r="R55" s="1413"/>
      <c r="S55" s="1413"/>
      <c r="T55" s="1413"/>
      <c r="U55" s="1413"/>
      <c r="V55" s="1413"/>
      <c r="W55" s="1413"/>
      <c r="X55" s="1413"/>
      <c r="Y55" s="1413"/>
      <c r="Z55" s="1413"/>
      <c r="AA55" s="1413"/>
      <c r="AB55" s="1413"/>
      <c r="AC55" s="1413"/>
      <c r="AD55" s="1413"/>
      <c r="AE55" s="1413"/>
      <c r="AF55" s="1413"/>
      <c r="AG55" s="1413"/>
      <c r="AH55" s="1413"/>
      <c r="AI55" s="1413"/>
      <c r="AJ55" s="1413"/>
      <c r="AK55" s="1413"/>
      <c r="AL55" s="1413"/>
      <c r="AM55" s="1413"/>
      <c r="AN55" s="1413"/>
      <c r="AO55" s="898"/>
      <c r="AP55" s="898"/>
      <c r="AQ55" s="898"/>
      <c r="AR55" s="898"/>
    </row>
    <row r="56" spans="1:45" x14ac:dyDescent="0.2">
      <c r="D56" s="1426"/>
      <c r="E56" s="1684">
        <f>E4</f>
        <v>2015</v>
      </c>
      <c r="F56" s="1684">
        <f t="shared" ref="F56:J56" si="19">F4</f>
        <v>2016</v>
      </c>
      <c r="G56" s="1684">
        <f t="shared" si="19"/>
        <v>2017</v>
      </c>
      <c r="H56" s="1684">
        <f t="shared" si="19"/>
        <v>2018</v>
      </c>
      <c r="I56" s="1684">
        <f t="shared" si="19"/>
        <v>2019</v>
      </c>
      <c r="J56" s="1684">
        <f t="shared" si="19"/>
        <v>2020</v>
      </c>
      <c r="Q56" s="1413"/>
      <c r="R56" s="1413"/>
      <c r="S56" s="1413"/>
      <c r="T56" s="1413"/>
      <c r="U56" s="1413"/>
      <c r="V56" s="1413"/>
      <c r="W56" s="1413"/>
      <c r="X56" s="1413"/>
      <c r="Y56" s="1413"/>
      <c r="Z56" s="1413"/>
      <c r="AA56" s="1413"/>
      <c r="AB56" s="1413"/>
      <c r="AC56" s="1413"/>
      <c r="AD56" s="1413"/>
      <c r="AE56" s="1413"/>
      <c r="AF56" s="1413"/>
      <c r="AG56" s="1413"/>
      <c r="AH56" s="1413"/>
      <c r="AI56" s="1413"/>
      <c r="AJ56" s="1413"/>
      <c r="AK56" s="1413"/>
      <c r="AL56" s="1413"/>
      <c r="AM56" s="1413"/>
      <c r="AN56" s="1413"/>
      <c r="AO56" s="898"/>
      <c r="AP56" s="898"/>
      <c r="AQ56" s="898"/>
      <c r="AR56" s="898"/>
    </row>
    <row r="57" spans="1:45" x14ac:dyDescent="0.2">
      <c r="C57" s="897" t="s">
        <v>163</v>
      </c>
      <c r="D57" s="1412" t="s">
        <v>550</v>
      </c>
      <c r="E57" s="1422">
        <f>+$F49*E50</f>
        <v>0</v>
      </c>
      <c r="F57" s="1422">
        <f>+$F49*IF($F49&gt;0,0.95,0.9)</f>
        <v>0</v>
      </c>
      <c r="G57" s="1422">
        <f>+$F49*IF($F49&gt;0,0.8,0.75)</f>
        <v>0</v>
      </c>
      <c r="H57" s="1422">
        <f>+$F49*H50</f>
        <v>0</v>
      </c>
      <c r="I57" s="1422">
        <f>+$F49*I50</f>
        <v>0</v>
      </c>
      <c r="J57" s="1422">
        <f>+$F49*J50</f>
        <v>0</v>
      </c>
      <c r="Q57" s="1413"/>
      <c r="R57" s="1413"/>
      <c r="S57" s="1413"/>
      <c r="T57" s="1413"/>
      <c r="U57" s="1413"/>
      <c r="V57" s="1413"/>
      <c r="W57" s="1413"/>
      <c r="X57" s="1413"/>
      <c r="Y57" s="1413"/>
      <c r="Z57" s="1413"/>
      <c r="AA57" s="1413"/>
      <c r="AB57" s="1413"/>
      <c r="AC57" s="1413"/>
      <c r="AD57" s="1413"/>
      <c r="AE57" s="1413"/>
      <c r="AF57" s="1413"/>
      <c r="AG57" s="1413"/>
      <c r="AH57" s="1413"/>
      <c r="AI57" s="1413"/>
      <c r="AJ57" s="1413"/>
      <c r="AK57" s="1413"/>
      <c r="AL57" s="1413"/>
      <c r="AM57" s="1413"/>
      <c r="AN57" s="1413"/>
      <c r="AO57" s="898"/>
      <c r="AP57" s="898"/>
      <c r="AQ57" s="898"/>
      <c r="AR57" s="898"/>
    </row>
    <row r="58" spans="1:45" x14ac:dyDescent="0.2">
      <c r="D58" s="897" t="s">
        <v>581</v>
      </c>
      <c r="E58" s="1585">
        <v>4.5699999999999998E-2</v>
      </c>
      <c r="F58" s="1553">
        <v>0</v>
      </c>
      <c r="G58" s="1553">
        <v>0</v>
      </c>
      <c r="H58" s="1553">
        <v>0</v>
      </c>
      <c r="I58" s="1553">
        <v>0</v>
      </c>
      <c r="J58" s="1425"/>
      <c r="Q58" s="1413"/>
      <c r="R58" s="1413"/>
      <c r="S58" s="1413"/>
      <c r="T58" s="1413"/>
      <c r="U58" s="1413"/>
      <c r="V58" s="1413"/>
      <c r="W58" s="1413"/>
      <c r="X58" s="1413"/>
      <c r="Y58" s="1413"/>
      <c r="Z58" s="1413"/>
      <c r="AA58" s="1413"/>
      <c r="AB58" s="1413"/>
      <c r="AC58" s="1413"/>
      <c r="AD58" s="1413"/>
      <c r="AE58" s="1413"/>
      <c r="AF58" s="1413"/>
      <c r="AG58" s="1413"/>
      <c r="AH58" s="1413"/>
      <c r="AI58" s="1413"/>
      <c r="AJ58" s="1413"/>
      <c r="AK58" s="1413"/>
      <c r="AL58" s="1413"/>
      <c r="AM58" s="1413"/>
      <c r="AN58" s="1413"/>
      <c r="AO58" s="898"/>
      <c r="AP58" s="898"/>
      <c r="AQ58" s="898"/>
      <c r="AR58" s="898"/>
    </row>
    <row r="59" spans="1:45" x14ac:dyDescent="0.2">
      <c r="D59" s="1426" t="s">
        <v>582</v>
      </c>
      <c r="E59" s="1427">
        <f>+E57*(1+E58)</f>
        <v>0</v>
      </c>
      <c r="F59" s="1427">
        <f>+F57*(1+F58)</f>
        <v>0</v>
      </c>
      <c r="G59" s="1427">
        <f t="shared" ref="G59:I59" si="20">+G57*(1+G58)</f>
        <v>0</v>
      </c>
      <c r="H59" s="1427">
        <f t="shared" si="20"/>
        <v>0</v>
      </c>
      <c r="I59" s="1427">
        <f t="shared" si="20"/>
        <v>0</v>
      </c>
      <c r="J59" s="1427"/>
      <c r="Q59" s="1413"/>
      <c r="R59" s="1413"/>
      <c r="S59" s="1413"/>
      <c r="T59" s="1413"/>
      <c r="U59" s="1413"/>
      <c r="V59" s="1413"/>
      <c r="W59" s="1413"/>
      <c r="X59" s="1413"/>
      <c r="Y59" s="1413"/>
      <c r="Z59" s="1413"/>
      <c r="AA59" s="1413"/>
      <c r="AB59" s="1413"/>
      <c r="AC59" s="1413"/>
      <c r="AD59" s="1413"/>
      <c r="AE59" s="1413"/>
      <c r="AF59" s="1413"/>
      <c r="AG59" s="1413"/>
      <c r="AH59" s="1413"/>
      <c r="AI59" s="1413"/>
      <c r="AJ59" s="1413"/>
      <c r="AK59" s="1413"/>
      <c r="AL59" s="1413"/>
      <c r="AM59" s="1413"/>
      <c r="AN59" s="1413"/>
      <c r="AO59" s="898"/>
      <c r="AP59" s="898"/>
      <c r="AQ59" s="898"/>
      <c r="AR59" s="898"/>
    </row>
    <row r="60" spans="1:45" x14ac:dyDescent="0.2">
      <c r="R60" s="1413"/>
      <c r="S60" s="1413"/>
      <c r="T60" s="1413"/>
      <c r="U60" s="1413"/>
      <c r="V60" s="1413"/>
      <c r="W60" s="1413"/>
      <c r="X60" s="1413"/>
      <c r="Y60" s="1413"/>
      <c r="Z60" s="1413"/>
      <c r="AA60" s="1413"/>
      <c r="AB60" s="1413"/>
      <c r="AC60" s="1413"/>
      <c r="AD60" s="1413"/>
      <c r="AE60" s="1413"/>
      <c r="AF60" s="1413"/>
      <c r="AG60" s="1413"/>
      <c r="AH60" s="1413"/>
      <c r="AI60" s="1413"/>
      <c r="AJ60" s="1413"/>
      <c r="AK60" s="1413"/>
      <c r="AL60" s="1413"/>
      <c r="AM60" s="1413"/>
      <c r="AN60" s="1413"/>
      <c r="AO60" s="1413"/>
      <c r="AP60" s="898"/>
      <c r="AQ60" s="898"/>
      <c r="AR60" s="898"/>
      <c r="AS60" s="898"/>
    </row>
    <row r="61" spans="1:45" x14ac:dyDescent="0.2">
      <c r="A61" s="1412" t="s">
        <v>420</v>
      </c>
      <c r="R61" s="1413"/>
      <c r="S61" s="1413"/>
      <c r="T61" s="1413"/>
      <c r="U61" s="1413"/>
      <c r="V61" s="1413"/>
      <c r="W61" s="1413"/>
      <c r="X61" s="1413"/>
      <c r="Y61" s="1413"/>
      <c r="Z61" s="1413"/>
      <c r="AA61" s="1413"/>
      <c r="AB61" s="1413"/>
      <c r="AC61" s="1413"/>
      <c r="AD61" s="1413"/>
      <c r="AE61" s="1413"/>
      <c r="AF61" s="1413"/>
      <c r="AG61" s="1413"/>
      <c r="AH61" s="1413"/>
      <c r="AI61" s="1413"/>
      <c r="AJ61" s="1413"/>
      <c r="AK61" s="1413"/>
      <c r="AL61" s="1413"/>
      <c r="AM61" s="1413"/>
      <c r="AN61" s="1413"/>
      <c r="AO61" s="1413"/>
      <c r="AP61" s="898"/>
      <c r="AQ61" s="898"/>
      <c r="AR61" s="898"/>
      <c r="AS61" s="898"/>
    </row>
    <row r="62" spans="1:45" s="1279" customFormat="1" x14ac:dyDescent="0.2">
      <c r="A62" s="1412" t="s">
        <v>416</v>
      </c>
      <c r="D62" s="1428" t="str">
        <f>+D2</f>
        <v>2014/15</v>
      </c>
      <c r="E62" s="1429" t="str">
        <f>+E2</f>
        <v>2015/16</v>
      </c>
      <c r="F62" s="1429" t="str">
        <f>+F2</f>
        <v>2016/17</v>
      </c>
      <c r="G62" s="1430"/>
      <c r="H62" s="1430"/>
      <c r="I62" s="1430"/>
      <c r="J62" s="1430"/>
      <c r="K62" s="1430"/>
      <c r="Q62" s="1431"/>
      <c r="R62" s="1431"/>
      <c r="S62" s="1431"/>
      <c r="T62" s="1431"/>
      <c r="U62" s="1431"/>
      <c r="V62" s="1431"/>
      <c r="W62" s="1431"/>
      <c r="X62" s="1431"/>
      <c r="Y62" s="1431"/>
      <c r="Z62" s="1431"/>
      <c r="AA62" s="1431"/>
      <c r="AB62" s="1431"/>
      <c r="AC62" s="1431"/>
      <c r="AD62" s="1431"/>
      <c r="AE62" s="1431"/>
      <c r="AF62" s="1431"/>
      <c r="AG62" s="1431"/>
      <c r="AH62" s="1431"/>
      <c r="AI62" s="1431"/>
      <c r="AJ62" s="1431"/>
      <c r="AK62" s="1431"/>
      <c r="AL62" s="1431"/>
      <c r="AM62" s="1431"/>
      <c r="AN62" s="1431"/>
      <c r="AO62" s="1430"/>
      <c r="AP62" s="1430"/>
      <c r="AQ62" s="1430"/>
      <c r="AR62" s="1430"/>
    </row>
    <row r="63" spans="1:45" x14ac:dyDescent="0.2">
      <c r="A63" s="897" t="s">
        <v>382</v>
      </c>
      <c r="D63" s="1417">
        <v>0</v>
      </c>
      <c r="E63" s="1432">
        <v>9144.59</v>
      </c>
      <c r="F63" s="1432">
        <v>9163.69</v>
      </c>
      <c r="G63" s="898"/>
      <c r="H63" s="1433">
        <f>+E63+E68</f>
        <v>9719.86</v>
      </c>
      <c r="I63" s="898"/>
      <c r="J63" s="898"/>
      <c r="K63" s="898"/>
      <c r="Q63" s="1413"/>
      <c r="R63" s="1413"/>
      <c r="S63" s="1413"/>
      <c r="T63" s="1413"/>
      <c r="U63" s="1413"/>
      <c r="V63" s="1413"/>
      <c r="W63" s="1413"/>
      <c r="X63" s="1413"/>
      <c r="Y63" s="1413"/>
      <c r="Z63" s="1413"/>
      <c r="AA63" s="1413"/>
      <c r="AB63" s="1413"/>
      <c r="AC63" s="1413"/>
      <c r="AD63" s="1413"/>
      <c r="AE63" s="1413"/>
      <c r="AF63" s="1413"/>
      <c r="AG63" s="1413"/>
      <c r="AH63" s="1413"/>
      <c r="AI63" s="1413"/>
      <c r="AJ63" s="1413"/>
      <c r="AK63" s="1413"/>
      <c r="AL63" s="1413"/>
      <c r="AM63" s="1413"/>
      <c r="AN63" s="1413"/>
      <c r="AO63" s="898"/>
      <c r="AP63" s="898"/>
      <c r="AQ63" s="898"/>
      <c r="AR63" s="898"/>
    </row>
    <row r="64" spans="1:45" x14ac:dyDescent="0.2">
      <c r="A64" s="897" t="s">
        <v>383</v>
      </c>
      <c r="D64" s="1417">
        <v>0</v>
      </c>
      <c r="E64" s="1432">
        <v>16229.51</v>
      </c>
      <c r="F64" s="1432">
        <v>16260</v>
      </c>
      <c r="G64" s="898"/>
      <c r="H64" s="1433">
        <f t="shared" ref="H64:H65" si="21">+E64+E69</f>
        <v>17144.650000000001</v>
      </c>
      <c r="I64" s="898"/>
      <c r="J64" s="898"/>
      <c r="K64" s="898"/>
      <c r="Q64" s="1413"/>
      <c r="R64" s="1413"/>
      <c r="S64" s="1413"/>
      <c r="T64" s="1413"/>
      <c r="U64" s="1413"/>
      <c r="V64" s="1413"/>
      <c r="W64" s="1413"/>
      <c r="X64" s="1413"/>
      <c r="Y64" s="1413"/>
      <c r="Z64" s="1413"/>
      <c r="AA64" s="1413"/>
      <c r="AB64" s="1413"/>
      <c r="AC64" s="1413"/>
      <c r="AD64" s="1413"/>
      <c r="AE64" s="1413"/>
      <c r="AF64" s="1413"/>
      <c r="AG64" s="1413"/>
      <c r="AH64" s="1413"/>
      <c r="AI64" s="1413"/>
      <c r="AJ64" s="1413"/>
      <c r="AK64" s="1413"/>
      <c r="AL64" s="1413"/>
      <c r="AM64" s="1413"/>
      <c r="AN64" s="1413"/>
      <c r="AO64" s="898"/>
      <c r="AP64" s="898"/>
      <c r="AQ64" s="898"/>
      <c r="AR64" s="898"/>
    </row>
    <row r="65" spans="1:46" x14ac:dyDescent="0.2">
      <c r="A65" s="897" t="s">
        <v>384</v>
      </c>
      <c r="D65" s="1417">
        <v>0</v>
      </c>
      <c r="E65" s="1432">
        <v>20186.72</v>
      </c>
      <c r="F65" s="1432">
        <v>20223.150000000001</v>
      </c>
      <c r="G65" s="898"/>
      <c r="H65" s="1433">
        <f t="shared" si="21"/>
        <v>21253.63</v>
      </c>
      <c r="I65" s="898"/>
      <c r="J65" s="898"/>
      <c r="K65" s="898"/>
      <c r="Q65" s="1413"/>
      <c r="R65" s="1413"/>
      <c r="S65" s="1413"/>
      <c r="T65" s="1413"/>
      <c r="U65" s="1413"/>
      <c r="V65" s="1413"/>
      <c r="W65" s="1413"/>
      <c r="X65" s="1413"/>
      <c r="Y65" s="1413"/>
      <c r="Z65" s="1413"/>
      <c r="AA65" s="1413"/>
      <c r="AB65" s="1413"/>
      <c r="AC65" s="1413"/>
      <c r="AD65" s="1413"/>
      <c r="AE65" s="1413"/>
      <c r="AF65" s="1413"/>
      <c r="AG65" s="1413"/>
      <c r="AH65" s="1413"/>
      <c r="AI65" s="1413"/>
      <c r="AJ65" s="1413"/>
      <c r="AK65" s="1413"/>
      <c r="AL65" s="1413"/>
      <c r="AM65" s="1413"/>
      <c r="AN65" s="1413"/>
      <c r="AO65" s="898"/>
      <c r="AP65" s="898"/>
      <c r="AQ65" s="898"/>
      <c r="AR65" s="898"/>
    </row>
    <row r="66" spans="1:46" x14ac:dyDescent="0.2">
      <c r="F66" s="1537"/>
      <c r="G66" s="898"/>
      <c r="H66" s="898"/>
      <c r="I66" s="898"/>
      <c r="J66" s="898"/>
      <c r="K66" s="898"/>
      <c r="Q66" s="1413"/>
      <c r="R66" s="1413"/>
      <c r="S66" s="1413"/>
      <c r="T66" s="1413"/>
      <c r="U66" s="1413"/>
      <c r="V66" s="1413"/>
      <c r="W66" s="1413"/>
      <c r="X66" s="1413"/>
      <c r="Y66" s="1413"/>
      <c r="Z66" s="1413"/>
      <c r="AA66" s="1413"/>
      <c r="AB66" s="1413"/>
      <c r="AC66" s="1413"/>
      <c r="AD66" s="1413"/>
      <c r="AE66" s="1413"/>
      <c r="AF66" s="1413"/>
      <c r="AG66" s="1413"/>
      <c r="AH66" s="1413"/>
      <c r="AI66" s="1413"/>
      <c r="AJ66" s="1413"/>
      <c r="AK66" s="1413"/>
      <c r="AL66" s="1413"/>
      <c r="AM66" s="1413"/>
      <c r="AN66" s="1413"/>
      <c r="AO66" s="898"/>
      <c r="AP66" s="898"/>
      <c r="AQ66" s="898"/>
      <c r="AR66" s="898"/>
    </row>
    <row r="67" spans="1:46" x14ac:dyDescent="0.2">
      <c r="A67" s="1412" t="s">
        <v>417</v>
      </c>
      <c r="D67" s="1428">
        <f>+D4</f>
        <v>2014</v>
      </c>
      <c r="E67" s="1428">
        <f>+E4</f>
        <v>2015</v>
      </c>
      <c r="F67" s="1428">
        <f>+F4</f>
        <v>2016</v>
      </c>
      <c r="G67" s="1553">
        <v>2E-3</v>
      </c>
      <c r="K67" s="898"/>
      <c r="L67" s="898"/>
      <c r="Q67" s="1413"/>
      <c r="R67" s="1413"/>
      <c r="S67" s="1413"/>
      <c r="T67" s="1413"/>
      <c r="U67" s="1413"/>
      <c r="V67" s="1413"/>
      <c r="W67" s="1413"/>
      <c r="X67" s="1413"/>
      <c r="Y67" s="1413"/>
      <c r="Z67" s="1413"/>
      <c r="AA67" s="1413"/>
      <c r="AB67" s="1413"/>
      <c r="AC67" s="1413"/>
      <c r="AD67" s="1413"/>
      <c r="AE67" s="1413"/>
      <c r="AF67" s="1413"/>
      <c r="AG67" s="1413"/>
      <c r="AH67" s="1413"/>
      <c r="AI67" s="1413"/>
      <c r="AJ67" s="1413"/>
      <c r="AK67" s="1413"/>
      <c r="AL67" s="1413"/>
      <c r="AM67" s="1413"/>
      <c r="AN67" s="1413"/>
      <c r="AO67" s="898"/>
      <c r="AP67" s="898"/>
      <c r="AQ67" s="898"/>
      <c r="AR67" s="898"/>
    </row>
    <row r="68" spans="1:46" x14ac:dyDescent="0.2">
      <c r="A68" s="897" t="s">
        <v>382</v>
      </c>
      <c r="C68" s="1434"/>
      <c r="D68" s="1435">
        <v>0</v>
      </c>
      <c r="E68" s="1435">
        <v>575.27</v>
      </c>
      <c r="F68" s="1432">
        <f>ROUND(+E68*(1+G$67),2)+34.05</f>
        <v>610.46999999999991</v>
      </c>
      <c r="K68" s="898"/>
      <c r="L68" s="898"/>
      <c r="Q68" s="1413"/>
      <c r="R68" s="1413"/>
      <c r="S68" s="1413"/>
      <c r="T68" s="1413"/>
      <c r="U68" s="1413"/>
      <c r="V68" s="1413"/>
      <c r="W68" s="1413"/>
      <c r="X68" s="1413"/>
      <c r="Y68" s="1413"/>
      <c r="Z68" s="1413"/>
      <c r="AA68" s="1413"/>
      <c r="AB68" s="1413"/>
      <c r="AC68" s="1413"/>
      <c r="AD68" s="1413"/>
      <c r="AE68" s="1413"/>
      <c r="AF68" s="1413"/>
      <c r="AG68" s="1413"/>
      <c r="AH68" s="1413"/>
      <c r="AI68" s="1413"/>
      <c r="AJ68" s="1413"/>
      <c r="AK68" s="1413"/>
      <c r="AL68" s="1413"/>
      <c r="AM68" s="1413"/>
      <c r="AN68" s="1413"/>
      <c r="AO68" s="898"/>
      <c r="AP68" s="898"/>
      <c r="AQ68" s="898"/>
      <c r="AR68" s="898"/>
    </row>
    <row r="69" spans="1:46" x14ac:dyDescent="0.2">
      <c r="A69" s="897" t="s">
        <v>383</v>
      </c>
      <c r="C69" s="1434"/>
      <c r="D69" s="1435">
        <v>0</v>
      </c>
      <c r="E69" s="1435">
        <v>915.14</v>
      </c>
      <c r="F69" s="1432">
        <f>ROUND(+E69*(1+G$67),2)+34.05</f>
        <v>951.02</v>
      </c>
      <c r="K69" s="898"/>
      <c r="L69" s="898"/>
      <c r="Q69" s="1413"/>
      <c r="R69" s="1413"/>
      <c r="S69" s="1413"/>
      <c r="T69" s="1413"/>
      <c r="U69" s="1413"/>
      <c r="V69" s="1413"/>
      <c r="W69" s="1413"/>
      <c r="X69" s="1413"/>
      <c r="Y69" s="1413"/>
      <c r="Z69" s="1413"/>
      <c r="AA69" s="1413"/>
      <c r="AB69" s="1413"/>
      <c r="AC69" s="1413"/>
      <c r="AD69" s="1413"/>
      <c r="AE69" s="1413"/>
      <c r="AF69" s="1413"/>
      <c r="AG69" s="1413"/>
      <c r="AH69" s="1413"/>
      <c r="AI69" s="1413"/>
      <c r="AJ69" s="1413"/>
      <c r="AK69" s="1413"/>
      <c r="AL69" s="1413"/>
      <c r="AM69" s="1413"/>
      <c r="AN69" s="1413"/>
      <c r="AO69" s="898"/>
      <c r="AP69" s="898"/>
      <c r="AQ69" s="898"/>
      <c r="AR69" s="898"/>
    </row>
    <row r="70" spans="1:46" x14ac:dyDescent="0.2">
      <c r="A70" s="897" t="s">
        <v>384</v>
      </c>
      <c r="C70" s="1434"/>
      <c r="D70" s="1435">
        <v>0</v>
      </c>
      <c r="E70" s="1435">
        <v>1066.9100000000001</v>
      </c>
      <c r="F70" s="1432">
        <f>ROUND(+E70*(1+G$67),2)+34.05</f>
        <v>1103.0899999999999</v>
      </c>
      <c r="K70" s="898"/>
      <c r="L70" s="898"/>
      <c r="Q70" s="1413"/>
      <c r="R70" s="1413"/>
      <c r="S70" s="1413"/>
      <c r="T70" s="1413"/>
      <c r="U70" s="1413"/>
      <c r="V70" s="1413"/>
      <c r="W70" s="1413"/>
      <c r="X70" s="1413"/>
      <c r="Y70" s="1413"/>
      <c r="Z70" s="1413"/>
      <c r="AA70" s="1413"/>
      <c r="AB70" s="1413"/>
      <c r="AC70" s="1413"/>
      <c r="AD70" s="1413"/>
      <c r="AE70" s="1413"/>
      <c r="AF70" s="1413"/>
      <c r="AG70" s="1413"/>
      <c r="AH70" s="1413"/>
      <c r="AI70" s="1413"/>
      <c r="AJ70" s="1413"/>
      <c r="AK70" s="1413"/>
      <c r="AL70" s="1413"/>
      <c r="AM70" s="1413"/>
      <c r="AN70" s="1413"/>
      <c r="AO70" s="898"/>
      <c r="AP70" s="898"/>
      <c r="AQ70" s="898"/>
      <c r="AR70" s="898"/>
    </row>
    <row r="71" spans="1:46" x14ac:dyDescent="0.2">
      <c r="Q71" s="1413"/>
      <c r="R71" s="1413"/>
      <c r="S71" s="1413"/>
      <c r="T71" s="1413"/>
      <c r="U71" s="1413"/>
      <c r="V71" s="1413"/>
      <c r="W71" s="1413"/>
      <c r="X71" s="1413"/>
      <c r="Y71" s="1413"/>
      <c r="Z71" s="1413"/>
      <c r="AA71" s="1413"/>
      <c r="AB71" s="1413"/>
      <c r="AC71" s="1413"/>
      <c r="AD71" s="1413"/>
      <c r="AE71" s="1413"/>
      <c r="AF71" s="1413"/>
      <c r="AG71" s="1413"/>
      <c r="AH71" s="1413"/>
      <c r="AI71" s="1413"/>
      <c r="AJ71" s="1413"/>
      <c r="AK71" s="1413"/>
      <c r="AL71" s="1413"/>
      <c r="AM71" s="1413"/>
      <c r="AN71" s="1413"/>
      <c r="AO71" s="898"/>
      <c r="AP71" s="898"/>
      <c r="AQ71" s="898"/>
      <c r="AR71" s="898"/>
    </row>
    <row r="72" spans="1:46" x14ac:dyDescent="0.2">
      <c r="R72" s="1413"/>
      <c r="S72" s="1413"/>
      <c r="T72" s="1413"/>
      <c r="U72" s="1413"/>
      <c r="V72" s="1413"/>
      <c r="W72" s="1413"/>
      <c r="X72" s="1413"/>
      <c r="Y72" s="1413"/>
      <c r="Z72" s="1413"/>
      <c r="AA72" s="1413"/>
      <c r="AB72" s="1413"/>
      <c r="AC72" s="1413"/>
      <c r="AD72" s="1413"/>
      <c r="AE72" s="1413"/>
      <c r="AF72" s="1413"/>
      <c r="AG72" s="1413"/>
      <c r="AH72" s="1413"/>
      <c r="AI72" s="1413"/>
      <c r="AJ72" s="1413"/>
      <c r="AK72" s="1413"/>
      <c r="AL72" s="1413"/>
      <c r="AM72" s="1413"/>
      <c r="AN72" s="1413"/>
      <c r="AO72" s="1413"/>
      <c r="AP72" s="898"/>
      <c r="AQ72" s="898"/>
      <c r="AR72" s="898"/>
      <c r="AS72" s="898"/>
    </row>
    <row r="73" spans="1:46" x14ac:dyDescent="0.2">
      <c r="R73" s="1413"/>
      <c r="S73" s="1413"/>
      <c r="T73" s="1413"/>
      <c r="U73" s="1413"/>
      <c r="V73" s="1413"/>
      <c r="W73" s="1413"/>
      <c r="X73" s="1413"/>
      <c r="Y73" s="1413"/>
      <c r="Z73" s="1413"/>
      <c r="AA73" s="1413"/>
      <c r="AB73" s="1413"/>
      <c r="AC73" s="1413"/>
      <c r="AD73" s="1413"/>
      <c r="AE73" s="1413"/>
      <c r="AF73" s="1413"/>
      <c r="AG73" s="1413"/>
      <c r="AH73" s="1413"/>
      <c r="AI73" s="1413"/>
      <c r="AJ73" s="1413"/>
      <c r="AK73" s="1413"/>
      <c r="AL73" s="1413"/>
      <c r="AM73" s="1413"/>
      <c r="AN73" s="1413"/>
      <c r="AO73" s="1413"/>
      <c r="AP73" s="898"/>
      <c r="AQ73" s="898"/>
      <c r="AR73" s="898"/>
      <c r="AS73" s="898"/>
    </row>
    <row r="74" spans="1:46" x14ac:dyDescent="0.2">
      <c r="A74" s="1412" t="s">
        <v>4</v>
      </c>
      <c r="D74" s="1411" t="str">
        <f>+D2</f>
        <v>2014/15</v>
      </c>
      <c r="E74" s="1411"/>
      <c r="F74" s="1411" t="str">
        <f>+E2</f>
        <v>2015/16</v>
      </c>
      <c r="H74" s="1436"/>
      <c r="R74" s="1413"/>
      <c r="S74" s="1413"/>
      <c r="T74" s="1413"/>
      <c r="U74" s="1413"/>
      <c r="V74" s="1413"/>
      <c r="W74" s="1413"/>
      <c r="X74" s="1413"/>
      <c r="Y74" s="1413"/>
      <c r="Z74" s="1413"/>
      <c r="AA74" s="1413"/>
      <c r="AB74" s="1413"/>
      <c r="AC74" s="1413"/>
      <c r="AD74" s="1413"/>
      <c r="AE74" s="1413"/>
      <c r="AF74" s="1413"/>
      <c r="AG74" s="1413"/>
      <c r="AH74" s="1413"/>
      <c r="AI74" s="1413"/>
      <c r="AJ74" s="1413"/>
      <c r="AK74" s="1413"/>
      <c r="AL74" s="1413"/>
      <c r="AM74" s="1413"/>
      <c r="AN74" s="1413"/>
      <c r="AO74" s="1413"/>
      <c r="AP74" s="898"/>
      <c r="AQ74" s="898"/>
      <c r="AR74" s="898"/>
      <c r="AS74" s="898"/>
    </row>
    <row r="75" spans="1:46" x14ac:dyDescent="0.2">
      <c r="A75" s="1412" t="s">
        <v>12</v>
      </c>
      <c r="D75" s="1411" t="s">
        <v>0</v>
      </c>
      <c r="E75" s="1411" t="s">
        <v>1</v>
      </c>
      <c r="F75" s="1411" t="s">
        <v>0</v>
      </c>
      <c r="G75" s="1411" t="s">
        <v>1</v>
      </c>
      <c r="H75" s="1257" t="s">
        <v>2</v>
      </c>
      <c r="R75" s="1413"/>
      <c r="S75" s="1413"/>
      <c r="T75" s="1413"/>
      <c r="U75" s="1413"/>
      <c r="V75" s="1413"/>
      <c r="W75" s="1413"/>
      <c r="X75" s="1413"/>
      <c r="Y75" s="1413"/>
      <c r="Z75" s="1413"/>
      <c r="AA75" s="1413"/>
      <c r="AB75" s="1413"/>
      <c r="AC75" s="1413"/>
      <c r="AD75" s="1413"/>
      <c r="AE75" s="1413"/>
      <c r="AF75" s="1413"/>
      <c r="AG75" s="1413"/>
      <c r="AH75" s="1413"/>
      <c r="AI75" s="1413"/>
      <c r="AJ75" s="1413"/>
      <c r="AK75" s="1413"/>
      <c r="AL75" s="1413"/>
      <c r="AM75" s="1413"/>
      <c r="AN75" s="1413"/>
      <c r="AO75" s="1413"/>
      <c r="AP75" s="898"/>
      <c r="AQ75" s="898"/>
      <c r="AR75" s="898"/>
      <c r="AS75" s="898"/>
    </row>
    <row r="76" spans="1:46" x14ac:dyDescent="0.2">
      <c r="A76" s="897" t="s">
        <v>13</v>
      </c>
      <c r="C76" s="1437"/>
      <c r="D76" s="1417">
        <f>+H76*D$94</f>
        <v>1648.113705</v>
      </c>
      <c r="E76" s="1417">
        <f>+H76*D$95</f>
        <v>74.65711499999999</v>
      </c>
      <c r="F76" s="1421">
        <f>+H76*E94</f>
        <v>1699.0359299999998</v>
      </c>
      <c r="G76" s="1421">
        <f>+H76*E$95</f>
        <v>76.964354999999998</v>
      </c>
      <c r="H76" s="1439">
        <v>7.6499999999999999E-2</v>
      </c>
      <c r="R76" s="1413"/>
      <c r="S76" s="1413"/>
      <c r="T76" s="1413"/>
      <c r="U76" s="1413"/>
      <c r="V76" s="1413"/>
      <c r="W76" s="1413"/>
      <c r="X76" s="1413"/>
      <c r="Y76" s="1413"/>
      <c r="Z76" s="1413"/>
      <c r="AA76" s="1413"/>
      <c r="AB76" s="1413"/>
      <c r="AC76" s="1413"/>
      <c r="AD76" s="1413"/>
      <c r="AE76" s="1413"/>
      <c r="AF76" s="1413"/>
      <c r="AG76" s="1413"/>
      <c r="AH76" s="1413"/>
      <c r="AI76" s="1413"/>
      <c r="AJ76" s="1413"/>
      <c r="AK76" s="1413"/>
      <c r="AL76" s="1413"/>
      <c r="AM76" s="1413"/>
      <c r="AN76" s="1413"/>
      <c r="AO76" s="1413"/>
      <c r="AP76" s="898"/>
      <c r="AQ76" s="898"/>
      <c r="AR76" s="898"/>
      <c r="AS76" s="898"/>
    </row>
    <row r="77" spans="1:46" x14ac:dyDescent="0.2">
      <c r="A77" s="897" t="s">
        <v>547</v>
      </c>
      <c r="D77" s="1414">
        <v>396.81</v>
      </c>
      <c r="E77" s="1417"/>
      <c r="F77" s="1438">
        <v>451.94</v>
      </c>
      <c r="G77" s="1421"/>
      <c r="H77" s="1439"/>
      <c r="R77" s="1413"/>
      <c r="S77" s="1413"/>
      <c r="T77" s="1413"/>
      <c r="U77" s="1413"/>
      <c r="V77" s="1413"/>
      <c r="W77" s="1413"/>
      <c r="X77" s="1413"/>
      <c r="Y77" s="1413"/>
      <c r="Z77" s="1413"/>
      <c r="AA77" s="1413"/>
      <c r="AB77" s="1413"/>
      <c r="AC77" s="1413"/>
      <c r="AD77" s="1413"/>
      <c r="AE77" s="1413"/>
      <c r="AF77" s="1413"/>
      <c r="AG77" s="1413"/>
      <c r="AH77" s="1413"/>
      <c r="AI77" s="1413"/>
      <c r="AJ77" s="1413"/>
      <c r="AK77" s="1413"/>
      <c r="AL77" s="1413"/>
      <c r="AM77" s="1413"/>
      <c r="AN77" s="1413"/>
      <c r="AO77" s="1413"/>
      <c r="AP77" s="898"/>
      <c r="AQ77" s="898"/>
      <c r="AR77" s="898"/>
      <c r="AS77" s="898"/>
    </row>
    <row r="78" spans="1:46" x14ac:dyDescent="0.2">
      <c r="A78" s="897" t="s">
        <v>285</v>
      </c>
      <c r="D78" s="1548">
        <f>+D96</f>
        <v>41.12</v>
      </c>
      <c r="E78" s="1417"/>
      <c r="F78" s="1548">
        <f>+E96</f>
        <v>41.48</v>
      </c>
      <c r="G78" s="1421"/>
      <c r="H78" s="1439"/>
      <c r="S78" s="1413"/>
      <c r="T78" s="1413"/>
      <c r="U78" s="1413"/>
      <c r="V78" s="1413"/>
      <c r="W78" s="1413"/>
      <c r="X78" s="1413"/>
      <c r="Y78" s="1413"/>
      <c r="Z78" s="1413"/>
      <c r="AA78" s="1413"/>
      <c r="AB78" s="1413"/>
      <c r="AC78" s="1413"/>
      <c r="AD78" s="1413"/>
      <c r="AE78" s="1413"/>
      <c r="AF78" s="1413"/>
      <c r="AG78" s="1413"/>
      <c r="AH78" s="1413"/>
      <c r="AI78" s="1413"/>
      <c r="AJ78" s="1413"/>
      <c r="AK78" s="1413"/>
      <c r="AL78" s="1413"/>
      <c r="AM78" s="1413"/>
      <c r="AN78" s="1413"/>
      <c r="AO78" s="1413"/>
      <c r="AP78" s="1413"/>
      <c r="AQ78" s="898"/>
      <c r="AR78" s="898"/>
      <c r="AS78" s="898"/>
      <c r="AT78" s="898"/>
    </row>
    <row r="79" spans="1:46" x14ac:dyDescent="0.2">
      <c r="A79" s="897" t="s">
        <v>806</v>
      </c>
      <c r="D79" s="1417"/>
      <c r="E79" s="1417">
        <f>ROUND(+H76*D89,2)+D77</f>
        <v>5114.8300000000008</v>
      </c>
      <c r="F79" s="1417"/>
      <c r="G79" s="1421">
        <f>ROUND(+H76*E89,2)+F77</f>
        <v>5343.44</v>
      </c>
      <c r="H79" s="1440"/>
      <c r="S79" s="1413"/>
      <c r="T79" s="1413"/>
      <c r="U79" s="1413"/>
      <c r="V79" s="1413"/>
      <c r="W79" s="1413"/>
      <c r="X79" s="1413"/>
      <c r="Y79" s="1413"/>
      <c r="Z79" s="1413"/>
      <c r="AA79" s="1413"/>
      <c r="AB79" s="1413"/>
      <c r="AC79" s="1413"/>
      <c r="AD79" s="1413"/>
      <c r="AE79" s="1413"/>
      <c r="AF79" s="1413"/>
      <c r="AG79" s="1413"/>
      <c r="AH79" s="1413"/>
      <c r="AI79" s="1413"/>
      <c r="AJ79" s="1413"/>
      <c r="AK79" s="1413"/>
      <c r="AL79" s="1413"/>
      <c r="AM79" s="1413"/>
      <c r="AN79" s="1413"/>
      <c r="AO79" s="1413"/>
      <c r="AP79" s="1413"/>
      <c r="AQ79" s="898"/>
      <c r="AR79" s="898"/>
      <c r="AS79" s="898"/>
      <c r="AT79" s="898"/>
    </row>
    <row r="80" spans="1:46" x14ac:dyDescent="0.2">
      <c r="D80" s="1417"/>
      <c r="E80" s="1417"/>
      <c r="F80" s="1417"/>
      <c r="G80" s="1421"/>
      <c r="H80" s="1439"/>
      <c r="S80" s="1413"/>
      <c r="T80" s="1413"/>
      <c r="U80" s="1413"/>
      <c r="V80" s="1413"/>
      <c r="W80" s="1413"/>
      <c r="X80" s="1413"/>
      <c r="Y80" s="1413"/>
      <c r="Z80" s="1413"/>
      <c r="AA80" s="1413"/>
      <c r="AB80" s="1413"/>
      <c r="AC80" s="1413"/>
      <c r="AD80" s="1413"/>
      <c r="AE80" s="1413"/>
      <c r="AF80" s="1413"/>
      <c r="AG80" s="1413"/>
      <c r="AH80" s="1413"/>
      <c r="AI80" s="1413"/>
      <c r="AJ80" s="1413"/>
      <c r="AK80" s="1413"/>
      <c r="AL80" s="1413"/>
      <c r="AM80" s="1413"/>
      <c r="AN80" s="1413"/>
      <c r="AO80" s="1413"/>
      <c r="AP80" s="1413"/>
      <c r="AQ80" s="898"/>
      <c r="AR80" s="898"/>
      <c r="AS80" s="898"/>
      <c r="AT80" s="898"/>
    </row>
    <row r="81" spans="1:46" x14ac:dyDescent="0.2">
      <c r="D81" s="1417" t="str">
        <f>+D2</f>
        <v>2014/15</v>
      </c>
      <c r="E81" s="1417" t="str">
        <f>+E2</f>
        <v>2015/16</v>
      </c>
      <c r="F81" s="1417"/>
      <c r="G81" s="1421"/>
      <c r="H81" s="1439"/>
      <c r="S81" s="1413"/>
      <c r="T81" s="1413"/>
      <c r="U81" s="1413"/>
      <c r="V81" s="1413"/>
      <c r="W81" s="1413"/>
      <c r="X81" s="1413"/>
      <c r="Y81" s="1413"/>
      <c r="Z81" s="1413"/>
      <c r="AA81" s="1413"/>
      <c r="AB81" s="1413"/>
      <c r="AC81" s="1413"/>
      <c r="AD81" s="1413"/>
      <c r="AE81" s="1413"/>
      <c r="AF81" s="1413"/>
      <c r="AG81" s="1413"/>
      <c r="AH81" s="1413"/>
      <c r="AI81" s="1413"/>
      <c r="AJ81" s="1413"/>
      <c r="AK81" s="1413"/>
      <c r="AL81" s="1413"/>
      <c r="AM81" s="1413"/>
      <c r="AN81" s="1413"/>
      <c r="AO81" s="1413"/>
      <c r="AP81" s="1413"/>
      <c r="AQ81" s="898"/>
      <c r="AR81" s="898"/>
      <c r="AS81" s="898"/>
      <c r="AT81" s="898"/>
    </row>
    <row r="82" spans="1:46" x14ac:dyDescent="0.2">
      <c r="A82" s="897" t="s">
        <v>868</v>
      </c>
      <c r="D82" s="1415">
        <v>177.62</v>
      </c>
      <c r="E82" s="1415">
        <v>180.37</v>
      </c>
      <c r="F82" s="1417"/>
      <c r="G82" s="1421"/>
      <c r="H82" s="1634">
        <v>178.12</v>
      </c>
      <c r="I82" s="1635">
        <f>180.37/H82-1</f>
        <v>1.2631933527958772E-2</v>
      </c>
      <c r="S82" s="1413"/>
      <c r="T82" s="1413"/>
      <c r="U82" s="1413"/>
      <c r="V82" s="1413"/>
      <c r="W82" s="1413"/>
      <c r="X82" s="1413"/>
      <c r="Y82" s="1413"/>
      <c r="Z82" s="1413"/>
      <c r="AA82" s="1413"/>
      <c r="AB82" s="1413"/>
      <c r="AC82" s="1413"/>
      <c r="AD82" s="1413"/>
      <c r="AE82" s="1413"/>
      <c r="AF82" s="1413"/>
      <c r="AG82" s="1413"/>
      <c r="AH82" s="1413"/>
      <c r="AI82" s="1413"/>
      <c r="AJ82" s="1413"/>
      <c r="AK82" s="1413"/>
      <c r="AL82" s="1413"/>
      <c r="AM82" s="1413"/>
      <c r="AN82" s="1413"/>
      <c r="AO82" s="1413"/>
      <c r="AP82" s="1413"/>
      <c r="AQ82" s="898"/>
      <c r="AR82" s="898"/>
      <c r="AS82" s="898"/>
      <c r="AT82" s="898"/>
    </row>
    <row r="83" spans="1:46" x14ac:dyDescent="0.2">
      <c r="R83" s="1413"/>
      <c r="S83" s="1413"/>
      <c r="T83" s="1413"/>
      <c r="U83" s="1413"/>
      <c r="V83" s="1413"/>
      <c r="W83" s="1413"/>
      <c r="X83" s="1413"/>
      <c r="Y83" s="1413"/>
      <c r="Z83" s="1413"/>
      <c r="AA83" s="1413"/>
      <c r="AB83" s="1413"/>
      <c r="AC83" s="1413"/>
      <c r="AD83" s="1413"/>
      <c r="AE83" s="1413"/>
      <c r="AF83" s="1413"/>
      <c r="AG83" s="1413"/>
      <c r="AH83" s="1413"/>
      <c r="AI83" s="1413"/>
      <c r="AJ83" s="1413"/>
      <c r="AK83" s="1413"/>
      <c r="AL83" s="1413"/>
      <c r="AM83" s="1413"/>
      <c r="AN83" s="1413"/>
      <c r="AO83" s="898"/>
      <c r="AP83" s="898"/>
      <c r="AQ83" s="898"/>
      <c r="AR83" s="898"/>
    </row>
    <row r="84" spans="1:46" x14ac:dyDescent="0.2">
      <c r="A84" s="1412" t="s">
        <v>5</v>
      </c>
      <c r="D84" s="1428">
        <f>+D67</f>
        <v>2014</v>
      </c>
      <c r="E84" s="1428">
        <f>+E4</f>
        <v>2015</v>
      </c>
      <c r="F84" s="1428">
        <f>+F4</f>
        <v>2016</v>
      </c>
      <c r="G84" s="1553">
        <v>2E-3</v>
      </c>
      <c r="R84" s="1413"/>
      <c r="S84" s="1413"/>
      <c r="T84" s="1413"/>
      <c r="U84" s="1413"/>
      <c r="V84" s="1413"/>
      <c r="W84" s="1413"/>
      <c r="X84" s="1413"/>
      <c r="Y84" s="1413"/>
      <c r="Z84" s="1413"/>
      <c r="AA84" s="1413"/>
      <c r="AB84" s="1413"/>
      <c r="AC84" s="1413"/>
      <c r="AD84" s="1413"/>
      <c r="AE84" s="1413"/>
      <c r="AF84" s="1413"/>
      <c r="AG84" s="1413"/>
      <c r="AH84" s="1413"/>
      <c r="AI84" s="1413"/>
      <c r="AJ84" s="1413"/>
      <c r="AK84" s="1413"/>
      <c r="AL84" s="1413"/>
      <c r="AM84" s="1413"/>
      <c r="AN84" s="898"/>
      <c r="AO84" s="898"/>
      <c r="AP84" s="898"/>
      <c r="AQ84" s="898"/>
    </row>
    <row r="85" spans="1:46" x14ac:dyDescent="0.2">
      <c r="A85" s="897" t="s">
        <v>3</v>
      </c>
      <c r="B85" s="898"/>
      <c r="C85" s="898"/>
      <c r="D85" s="1442">
        <v>0</v>
      </c>
      <c r="E85" s="1550">
        <v>1177.4100000000001</v>
      </c>
      <c r="F85" s="1432">
        <f>ROUND(+E85*(1+G$67),2)+18.43</f>
        <v>1198.19</v>
      </c>
      <c r="G85" s="1257"/>
      <c r="R85" s="1413"/>
      <c r="S85" s="1413"/>
      <c r="T85" s="1413"/>
      <c r="U85" s="1413"/>
      <c r="V85" s="1413"/>
      <c r="W85" s="1413"/>
      <c r="X85" s="1413"/>
      <c r="Y85" s="1413"/>
      <c r="Z85" s="1413"/>
      <c r="AA85" s="1413"/>
      <c r="AB85" s="1413"/>
      <c r="AC85" s="1413"/>
      <c r="AD85" s="1413"/>
      <c r="AE85" s="1413"/>
      <c r="AF85" s="1413"/>
      <c r="AG85" s="1413"/>
      <c r="AH85" s="1413"/>
      <c r="AI85" s="1413"/>
      <c r="AJ85" s="1413"/>
      <c r="AK85" s="1413"/>
      <c r="AL85" s="1413"/>
      <c r="AM85" s="1413"/>
      <c r="AN85" s="898"/>
      <c r="AO85" s="898"/>
      <c r="AP85" s="898"/>
      <c r="AQ85" s="898"/>
    </row>
    <row r="86" spans="1:46" x14ac:dyDescent="0.2">
      <c r="A86" s="898"/>
      <c r="B86" s="898"/>
      <c r="C86" s="898"/>
      <c r="D86" s="898"/>
      <c r="E86" s="898"/>
      <c r="F86" s="898"/>
      <c r="R86" s="1413"/>
      <c r="S86" s="1413"/>
      <c r="T86" s="1413"/>
      <c r="U86" s="1413"/>
      <c r="V86" s="1413"/>
      <c r="W86" s="1413"/>
      <c r="X86" s="1413"/>
      <c r="Y86" s="1413"/>
      <c r="Z86" s="1413"/>
      <c r="AA86" s="1413"/>
      <c r="AB86" s="1413"/>
      <c r="AC86" s="1413"/>
      <c r="AD86" s="1413"/>
      <c r="AE86" s="1413"/>
      <c r="AF86" s="1413"/>
      <c r="AG86" s="1413"/>
      <c r="AH86" s="1413"/>
      <c r="AI86" s="1413"/>
      <c r="AJ86" s="1413"/>
      <c r="AK86" s="1413"/>
      <c r="AL86" s="1413"/>
      <c r="AM86" s="1413"/>
      <c r="AN86" s="1413"/>
      <c r="AO86" s="898"/>
      <c r="AP86" s="898"/>
      <c r="AQ86" s="898"/>
      <c r="AR86" s="898"/>
    </row>
    <row r="87" spans="1:46" x14ac:dyDescent="0.2">
      <c r="A87" s="1443" t="s">
        <v>6</v>
      </c>
      <c r="B87" s="1444"/>
      <c r="C87" s="1444" t="s">
        <v>7</v>
      </c>
      <c r="D87" s="1443" t="s">
        <v>639</v>
      </c>
      <c r="E87" s="1443" t="s">
        <v>728</v>
      </c>
      <c r="F87" s="1443" t="s">
        <v>814</v>
      </c>
      <c r="G87" s="1443" t="s">
        <v>815</v>
      </c>
      <c r="R87" s="1413"/>
      <c r="S87" s="1413"/>
      <c r="T87" s="1413"/>
      <c r="U87" s="1413"/>
      <c r="V87" s="1413"/>
      <c r="W87" s="1413"/>
      <c r="X87" s="1413"/>
      <c r="Y87" s="1413"/>
      <c r="Z87" s="1413"/>
      <c r="AA87" s="1413"/>
      <c r="AB87" s="1413"/>
      <c r="AC87" s="1413"/>
      <c r="AD87" s="1413"/>
      <c r="AE87" s="1413"/>
      <c r="AF87" s="1413"/>
      <c r="AG87" s="1413"/>
      <c r="AH87" s="1413"/>
      <c r="AI87" s="1413"/>
      <c r="AJ87" s="1413"/>
      <c r="AK87" s="1413"/>
      <c r="AL87" s="1413"/>
      <c r="AM87" s="1413"/>
      <c r="AN87" s="1413"/>
      <c r="AO87" s="898"/>
      <c r="AP87" s="898"/>
      <c r="AQ87" s="898"/>
      <c r="AR87" s="898"/>
    </row>
    <row r="88" spans="1:46" x14ac:dyDescent="0.2">
      <c r="A88" s="898" t="s">
        <v>100</v>
      </c>
      <c r="B88" s="898"/>
      <c r="C88" s="1441"/>
      <c r="D88" s="1445">
        <v>81141.97</v>
      </c>
      <c r="E88" s="1445">
        <v>83613.55</v>
      </c>
      <c r="F88" s="1445">
        <v>83731.45</v>
      </c>
      <c r="G88" s="1445">
        <f t="shared" ref="G88" si="22">+F88</f>
        <v>83731.45</v>
      </c>
      <c r="R88" s="898"/>
      <c r="S88" s="1413"/>
      <c r="T88" s="1413"/>
      <c r="U88" s="1413"/>
      <c r="V88" s="1413"/>
      <c r="W88" s="1413"/>
      <c r="X88" s="1413"/>
      <c r="Y88" s="1413"/>
      <c r="Z88" s="1413"/>
      <c r="AA88" s="1413"/>
      <c r="AB88" s="1413"/>
      <c r="AC88" s="1413"/>
      <c r="AD88" s="1413"/>
      <c r="AE88" s="1413"/>
      <c r="AF88" s="1413"/>
      <c r="AG88" s="1413"/>
      <c r="AH88" s="1413"/>
      <c r="AI88" s="1413"/>
      <c r="AJ88" s="1413"/>
      <c r="AK88" s="1413"/>
      <c r="AL88" s="1413"/>
      <c r="AM88" s="1413"/>
      <c r="AN88" s="1413"/>
      <c r="AO88" s="1413"/>
      <c r="AP88" s="898"/>
      <c r="AQ88" s="898"/>
      <c r="AR88" s="898"/>
      <c r="AS88" s="898"/>
    </row>
    <row r="89" spans="1:46" x14ac:dyDescent="0.2">
      <c r="A89" s="898" t="s">
        <v>101</v>
      </c>
      <c r="B89" s="898"/>
      <c r="C89" s="1441"/>
      <c r="D89" s="1445">
        <v>61673.47</v>
      </c>
      <c r="E89" s="1445">
        <v>63941.2</v>
      </c>
      <c r="F89" s="1445">
        <v>64086.99</v>
      </c>
      <c r="G89" s="1445">
        <f t="shared" ref="G89:G90" si="23">+F89</f>
        <v>64086.99</v>
      </c>
      <c r="R89" s="898"/>
      <c r="S89" s="1413"/>
      <c r="T89" s="1413"/>
      <c r="U89" s="1413"/>
      <c r="V89" s="1413"/>
      <c r="W89" s="1413"/>
      <c r="X89" s="1413"/>
      <c r="Y89" s="1413"/>
      <c r="Z89" s="1413"/>
      <c r="AA89" s="1413"/>
      <c r="AB89" s="1413"/>
      <c r="AC89" s="1413"/>
      <c r="AD89" s="1413"/>
      <c r="AE89" s="1413"/>
      <c r="AF89" s="1413"/>
      <c r="AG89" s="1413"/>
      <c r="AH89" s="1413"/>
      <c r="AI89" s="1413"/>
      <c r="AJ89" s="1413"/>
      <c r="AK89" s="1413"/>
      <c r="AL89" s="1413"/>
      <c r="AM89" s="1413"/>
      <c r="AN89" s="1413"/>
      <c r="AO89" s="1413"/>
      <c r="AP89" s="898"/>
      <c r="AQ89" s="898"/>
      <c r="AR89" s="898"/>
      <c r="AS89" s="898"/>
    </row>
    <row r="90" spans="1:46" x14ac:dyDescent="0.2">
      <c r="A90" s="898" t="s">
        <v>8</v>
      </c>
      <c r="B90" s="898"/>
      <c r="C90" s="1441"/>
      <c r="D90" s="1445">
        <f t="shared" ref="D90" si="24">+D88-D89</f>
        <v>19468.5</v>
      </c>
      <c r="E90" s="1445">
        <f>+E88-E89</f>
        <v>19672.350000000006</v>
      </c>
      <c r="F90" s="1445">
        <v>19644.46</v>
      </c>
      <c r="G90" s="1445">
        <f t="shared" si="23"/>
        <v>19644.46</v>
      </c>
      <c r="I90" s="1437"/>
      <c r="R90" s="898"/>
      <c r="S90" s="1413"/>
      <c r="T90" s="1413"/>
      <c r="U90" s="1413"/>
      <c r="V90" s="1413"/>
      <c r="W90" s="1413"/>
      <c r="X90" s="1413"/>
      <c r="Y90" s="1413"/>
      <c r="Z90" s="1413"/>
      <c r="AA90" s="1413"/>
      <c r="AB90" s="1413"/>
      <c r="AC90" s="1413"/>
      <c r="AD90" s="1413"/>
      <c r="AE90" s="1413"/>
      <c r="AF90" s="1413"/>
      <c r="AG90" s="1413"/>
      <c r="AH90" s="1413"/>
      <c r="AI90" s="1413"/>
      <c r="AJ90" s="1413"/>
      <c r="AK90" s="1413"/>
      <c r="AL90" s="1413"/>
      <c r="AM90" s="1413"/>
      <c r="AN90" s="1413"/>
      <c r="AO90" s="1413"/>
      <c r="AP90" s="898"/>
      <c r="AQ90" s="898"/>
      <c r="AR90" s="898"/>
      <c r="AS90" s="898"/>
    </row>
    <row r="91" spans="1:46" x14ac:dyDescent="0.2">
      <c r="A91" s="898" t="s">
        <v>869</v>
      </c>
      <c r="B91" s="898"/>
      <c r="C91" s="1441"/>
      <c r="D91" s="1445">
        <v>2495</v>
      </c>
      <c r="E91" s="1445">
        <v>2571</v>
      </c>
      <c r="F91" s="1445">
        <v>2574</v>
      </c>
      <c r="G91" s="1445">
        <f t="shared" ref="G91" si="25">+F91</f>
        <v>2574</v>
      </c>
      <c r="R91" s="898"/>
      <c r="S91" s="1413"/>
      <c r="T91" s="1413"/>
      <c r="U91" s="1413"/>
      <c r="V91" s="1413"/>
      <c r="W91" s="1413"/>
      <c r="X91" s="1413"/>
      <c r="Y91" s="1413"/>
      <c r="Z91" s="1413"/>
      <c r="AA91" s="1413"/>
      <c r="AB91" s="1413"/>
      <c r="AC91" s="1413"/>
      <c r="AD91" s="1413"/>
      <c r="AE91" s="1413"/>
      <c r="AF91" s="1413"/>
      <c r="AG91" s="1413"/>
      <c r="AH91" s="1413"/>
      <c r="AI91" s="1413"/>
      <c r="AJ91" s="1413"/>
      <c r="AK91" s="1413"/>
      <c r="AL91" s="1413"/>
      <c r="AM91" s="1413"/>
      <c r="AN91" s="1413"/>
      <c r="AO91" s="1413"/>
      <c r="AP91" s="898"/>
      <c r="AQ91" s="898"/>
      <c r="AR91" s="898"/>
      <c r="AS91" s="898"/>
    </row>
    <row r="92" spans="1:46" x14ac:dyDescent="0.2">
      <c r="A92" s="898"/>
      <c r="B92" s="898"/>
      <c r="C92" s="1531"/>
      <c r="D92" s="1531">
        <f>SUM(D90:D91)</f>
        <v>21963.5</v>
      </c>
      <c r="E92" s="1531">
        <f t="shared" ref="E92:G92" si="26">SUM(E90:E91)</f>
        <v>22243.350000000006</v>
      </c>
      <c r="F92" s="1531">
        <f t="shared" si="26"/>
        <v>22218.46</v>
      </c>
      <c r="G92" s="1531">
        <f t="shared" si="26"/>
        <v>22218.46</v>
      </c>
      <c r="R92" s="898"/>
      <c r="S92" s="1413"/>
      <c r="T92" s="1413"/>
      <c r="U92" s="1413"/>
      <c r="V92" s="1413"/>
      <c r="W92" s="1413"/>
      <c r="X92" s="1413"/>
      <c r="Y92" s="1413"/>
      <c r="Z92" s="1413"/>
      <c r="AA92" s="1413"/>
      <c r="AB92" s="1413"/>
      <c r="AC92" s="1413"/>
      <c r="AD92" s="1413"/>
      <c r="AE92" s="1413"/>
      <c r="AF92" s="1413"/>
      <c r="AG92" s="1413"/>
      <c r="AH92" s="1413"/>
      <c r="AI92" s="1413"/>
      <c r="AJ92" s="1413"/>
      <c r="AK92" s="1413"/>
      <c r="AL92" s="1413"/>
      <c r="AM92" s="1413"/>
      <c r="AN92" s="1413"/>
      <c r="AO92" s="1413"/>
      <c r="AP92" s="898"/>
      <c r="AQ92" s="898"/>
      <c r="AR92" s="898"/>
      <c r="AS92" s="898"/>
    </row>
    <row r="93" spans="1:46" x14ac:dyDescent="0.2">
      <c r="A93" s="898" t="s">
        <v>9</v>
      </c>
      <c r="B93" s="898"/>
      <c r="C93" s="1441"/>
      <c r="D93" s="1445">
        <v>36874.15</v>
      </c>
      <c r="E93" s="1445">
        <v>38130.449999999997</v>
      </c>
      <c r="F93" s="1445">
        <v>38184.21</v>
      </c>
      <c r="G93" s="1445">
        <f t="shared" ref="G93" si="27">+F93</f>
        <v>38184.21</v>
      </c>
      <c r="R93" s="898"/>
      <c r="S93" s="1413"/>
      <c r="T93" s="1413"/>
      <c r="U93" s="1413"/>
      <c r="V93" s="1413"/>
      <c r="W93" s="1413"/>
      <c r="X93" s="1413"/>
      <c r="Y93" s="1413"/>
      <c r="Z93" s="1413"/>
      <c r="AA93" s="1413"/>
      <c r="AB93" s="1413"/>
      <c r="AC93" s="1413"/>
      <c r="AD93" s="1413"/>
      <c r="AE93" s="1413"/>
      <c r="AF93" s="1413"/>
      <c r="AG93" s="1413"/>
      <c r="AH93" s="1413"/>
      <c r="AI93" s="1413"/>
      <c r="AJ93" s="1413"/>
      <c r="AK93" s="1413"/>
      <c r="AL93" s="1413"/>
      <c r="AM93" s="1413"/>
      <c r="AN93" s="1413"/>
      <c r="AO93" s="1413"/>
      <c r="AP93" s="898"/>
      <c r="AQ93" s="898"/>
      <c r="AR93" s="898"/>
      <c r="AS93" s="898"/>
    </row>
    <row r="94" spans="1:46" x14ac:dyDescent="0.2">
      <c r="A94" s="898" t="s">
        <v>10</v>
      </c>
      <c r="B94" s="898"/>
      <c r="C94" s="1441"/>
      <c r="D94" s="1445">
        <v>21543.97</v>
      </c>
      <c r="E94" s="1445">
        <v>22209.62</v>
      </c>
      <c r="F94" s="1445">
        <v>22239.26</v>
      </c>
      <c r="G94" s="1445">
        <f t="shared" ref="G94" si="28">+F94</f>
        <v>22239.26</v>
      </c>
      <c r="R94" s="898"/>
      <c r="S94" s="1413"/>
      <c r="T94" s="1413"/>
      <c r="U94" s="1413"/>
      <c r="V94" s="1413"/>
      <c r="W94" s="1413"/>
      <c r="X94" s="1413"/>
      <c r="Y94" s="1413"/>
      <c r="Z94" s="1413"/>
      <c r="AA94" s="1413"/>
      <c r="AB94" s="1413"/>
      <c r="AC94" s="1413"/>
      <c r="AD94" s="1413"/>
      <c r="AE94" s="1413"/>
      <c r="AF94" s="1413"/>
      <c r="AG94" s="1413"/>
      <c r="AH94" s="1413"/>
      <c r="AI94" s="1413"/>
      <c r="AJ94" s="1413"/>
      <c r="AK94" s="1413"/>
      <c r="AL94" s="1413"/>
      <c r="AM94" s="1413"/>
      <c r="AN94" s="1413"/>
      <c r="AO94" s="1413"/>
      <c r="AP94" s="898"/>
      <c r="AQ94" s="898"/>
      <c r="AR94" s="898"/>
      <c r="AS94" s="898"/>
    </row>
    <row r="95" spans="1:46" x14ac:dyDescent="0.2">
      <c r="A95" s="1446" t="s">
        <v>11</v>
      </c>
      <c r="B95" s="898"/>
      <c r="C95" s="1441"/>
      <c r="D95" s="1445">
        <f t="shared" ref="D95" si="29">ROUND((D89-D94)/D96,2)</f>
        <v>975.91</v>
      </c>
      <c r="E95" s="1445">
        <v>1006.07</v>
      </c>
      <c r="F95" s="1445">
        <v>1007.41</v>
      </c>
      <c r="G95" s="1445">
        <f t="shared" ref="G95" si="30">+F95</f>
        <v>1007.41</v>
      </c>
      <c r="R95" s="898"/>
      <c r="S95" s="1413"/>
      <c r="T95" s="1413"/>
      <c r="U95" s="1413"/>
      <c r="V95" s="1413"/>
      <c r="W95" s="1413"/>
      <c r="X95" s="1413"/>
      <c r="Y95" s="1413"/>
      <c r="Z95" s="1413"/>
      <c r="AA95" s="1413"/>
      <c r="AB95" s="1413"/>
      <c r="AC95" s="1413"/>
      <c r="AD95" s="1413"/>
      <c r="AE95" s="1413"/>
      <c r="AF95" s="1413"/>
      <c r="AG95" s="1413"/>
      <c r="AH95" s="1413"/>
      <c r="AI95" s="1413"/>
      <c r="AJ95" s="1413"/>
      <c r="AK95" s="1413"/>
      <c r="AL95" s="1413"/>
      <c r="AM95" s="1413"/>
      <c r="AN95" s="1413"/>
      <c r="AO95" s="1413"/>
      <c r="AP95" s="898"/>
      <c r="AQ95" s="898"/>
      <c r="AR95" s="898"/>
      <c r="AS95" s="898"/>
    </row>
    <row r="96" spans="1:46" x14ac:dyDescent="0.2">
      <c r="A96" s="1446" t="s">
        <v>102</v>
      </c>
      <c r="B96" s="898"/>
      <c r="C96" s="1447"/>
      <c r="D96" s="1448">
        <v>41.12</v>
      </c>
      <c r="E96" s="1445">
        <v>41.48</v>
      </c>
      <c r="F96" s="1445">
        <v>41.54</v>
      </c>
      <c r="G96" s="1445">
        <f t="shared" ref="G96" si="31">+F96</f>
        <v>41.54</v>
      </c>
      <c r="R96" s="898"/>
      <c r="S96" s="1413"/>
      <c r="T96" s="1413"/>
      <c r="U96" s="1413"/>
      <c r="V96" s="1413"/>
      <c r="W96" s="1413"/>
      <c r="X96" s="1413"/>
      <c r="Y96" s="1413"/>
      <c r="Z96" s="1413"/>
      <c r="AA96" s="1413"/>
      <c r="AB96" s="1413"/>
      <c r="AC96" s="1413"/>
      <c r="AD96" s="1413"/>
      <c r="AE96" s="1413"/>
      <c r="AF96" s="1413"/>
      <c r="AG96" s="1413"/>
      <c r="AH96" s="1413"/>
      <c r="AI96" s="1413"/>
      <c r="AJ96" s="1413"/>
      <c r="AK96" s="1413"/>
      <c r="AL96" s="1413"/>
      <c r="AM96" s="1413"/>
      <c r="AN96" s="1413"/>
      <c r="AO96" s="1413"/>
      <c r="AP96" s="898"/>
      <c r="AQ96" s="898"/>
      <c r="AR96" s="898"/>
      <c r="AS96" s="898"/>
    </row>
    <row r="97" spans="1:18" x14ac:dyDescent="0.2">
      <c r="A97" s="1446"/>
      <c r="B97" s="898"/>
      <c r="C97" s="898"/>
      <c r="D97" s="1447"/>
      <c r="E97" s="1447"/>
      <c r="F97" s="1447"/>
      <c r="G97" s="1447"/>
      <c r="R97" s="898"/>
    </row>
    <row r="98" spans="1:18" x14ac:dyDescent="0.2">
      <c r="A98" s="1446" t="s">
        <v>432</v>
      </c>
      <c r="B98" s="898"/>
      <c r="C98" s="1426" t="s">
        <v>602</v>
      </c>
      <c r="D98" s="1449">
        <v>76000</v>
      </c>
      <c r="E98" s="1449">
        <v>78500</v>
      </c>
      <c r="F98" s="1449">
        <v>80000</v>
      </c>
      <c r="G98" s="1449">
        <f>+F98</f>
        <v>80000</v>
      </c>
      <c r="R98" s="898"/>
    </row>
    <row r="99" spans="1:18" x14ac:dyDescent="0.2">
      <c r="A99" s="1446"/>
      <c r="B99" s="898"/>
      <c r="C99" s="898"/>
      <c r="D99" s="1447"/>
      <c r="E99" s="898"/>
      <c r="F99" s="898"/>
      <c r="G99" s="1279"/>
      <c r="R99" s="898"/>
    </row>
    <row r="100" spans="1:18" x14ac:dyDescent="0.2">
      <c r="A100" s="898"/>
      <c r="B100" s="1279"/>
      <c r="C100" s="1383"/>
      <c r="D100" s="1383" t="s">
        <v>256</v>
      </c>
      <c r="E100" s="1383" t="s">
        <v>259</v>
      </c>
      <c r="F100" s="1383" t="s">
        <v>1017</v>
      </c>
      <c r="G100" s="898"/>
      <c r="H100" s="898"/>
      <c r="I100" s="898"/>
      <c r="R100" s="898"/>
    </row>
    <row r="101" spans="1:18" x14ac:dyDescent="0.2">
      <c r="A101" s="737" t="s">
        <v>161</v>
      </c>
      <c r="B101" s="1279"/>
      <c r="C101" s="1451"/>
      <c r="D101" s="1450">
        <v>0.53</v>
      </c>
      <c r="E101" s="1450">
        <v>0.53</v>
      </c>
      <c r="F101" s="1450">
        <v>0.53</v>
      </c>
      <c r="G101" s="898"/>
      <c r="H101" s="898"/>
      <c r="I101" s="898"/>
      <c r="R101" s="898"/>
    </row>
    <row r="102" spans="1:18" x14ac:dyDescent="0.2">
      <c r="A102" s="1383" t="s">
        <v>856</v>
      </c>
      <c r="B102" s="1279"/>
      <c r="C102" s="1451"/>
      <c r="D102" s="1450">
        <v>0.5</v>
      </c>
      <c r="E102" s="1450">
        <v>0.5</v>
      </c>
      <c r="F102" s="1450">
        <v>0.5</v>
      </c>
      <c r="G102" s="898"/>
      <c r="H102" s="898"/>
      <c r="I102" s="1383"/>
    </row>
    <row r="103" spans="1:18" x14ac:dyDescent="0.2">
      <c r="A103" s="1383" t="s">
        <v>857</v>
      </c>
      <c r="B103" s="1279"/>
      <c r="C103" s="1451"/>
      <c r="D103" s="1451">
        <v>0.20000000000000007</v>
      </c>
      <c r="E103" s="1451">
        <v>0.20000000000000007</v>
      </c>
      <c r="F103" s="1451">
        <v>0.20000000000000007</v>
      </c>
      <c r="G103" s="898"/>
      <c r="H103" s="898"/>
      <c r="I103" s="1383"/>
    </row>
    <row r="104" spans="1:18" x14ac:dyDescent="0.2">
      <c r="A104" s="1383" t="s">
        <v>855</v>
      </c>
      <c r="B104" s="1279"/>
      <c r="C104" s="1451"/>
      <c r="D104" s="1450">
        <v>0.4</v>
      </c>
      <c r="E104" s="1450">
        <v>0.4</v>
      </c>
      <c r="F104" s="1450">
        <v>0.4</v>
      </c>
      <c r="G104" s="898"/>
      <c r="H104" s="898"/>
      <c r="I104" s="1383"/>
    </row>
    <row r="105" spans="1:18" x14ac:dyDescent="0.2">
      <c r="A105" s="1383" t="s">
        <v>857</v>
      </c>
      <c r="B105" s="1279"/>
      <c r="C105" s="1451"/>
      <c r="D105" s="1451">
        <v>0.30000000000000004</v>
      </c>
      <c r="E105" s="1451">
        <v>0.30000000000000004</v>
      </c>
      <c r="F105" s="1451">
        <v>0.30000000000000004</v>
      </c>
      <c r="G105" s="898"/>
      <c r="H105" s="898"/>
      <c r="I105" s="1383"/>
    </row>
    <row r="106" spans="1:18" x14ac:dyDescent="0.2">
      <c r="A106" s="1383"/>
      <c r="B106" s="1279"/>
      <c r="C106" s="1279"/>
      <c r="D106" s="1451"/>
      <c r="E106" s="1451"/>
      <c r="G106" s="898"/>
      <c r="H106" s="898"/>
      <c r="I106" s="1383"/>
    </row>
    <row r="107" spans="1:18" x14ac:dyDescent="0.2">
      <c r="A107" s="737" t="s">
        <v>845</v>
      </c>
      <c r="B107" s="737"/>
      <c r="C107" s="737"/>
      <c r="D107" s="1452">
        <v>2014</v>
      </c>
      <c r="E107" s="1452">
        <v>2015</v>
      </c>
      <c r="F107" s="1697">
        <v>2016</v>
      </c>
      <c r="G107" s="1451"/>
      <c r="H107" s="1451"/>
      <c r="J107" s="898"/>
      <c r="K107" s="898"/>
      <c r="L107" s="1383"/>
    </row>
    <row r="108" spans="1:18" x14ac:dyDescent="0.2">
      <c r="A108" s="1383" t="s">
        <v>846</v>
      </c>
      <c r="B108" s="1383"/>
      <c r="C108" s="1383"/>
      <c r="D108" s="1694">
        <v>0.14285</v>
      </c>
      <c r="E108" s="1694">
        <v>0.13405</v>
      </c>
      <c r="F108" s="1425">
        <v>0.13370000000000001</v>
      </c>
      <c r="G108" s="1451"/>
      <c r="H108" s="1451"/>
      <c r="J108" s="898"/>
      <c r="K108" s="898"/>
      <c r="L108" s="1383"/>
    </row>
    <row r="109" spans="1:18" x14ac:dyDescent="0.2">
      <c r="A109" s="1383" t="s">
        <v>847</v>
      </c>
      <c r="B109" s="1383"/>
      <c r="C109" s="1383"/>
      <c r="D109" s="1694">
        <v>7.6149999999999995E-2</v>
      </c>
      <c r="E109" s="1694">
        <v>6.4949999999999994E-2</v>
      </c>
      <c r="F109" s="1425">
        <v>5.7299999999999997E-2</v>
      </c>
      <c r="G109" s="1451"/>
      <c r="H109" s="1451"/>
      <c r="J109" s="898"/>
      <c r="K109" s="898"/>
      <c r="L109" s="1383"/>
    </row>
    <row r="110" spans="1:18" x14ac:dyDescent="0.2">
      <c r="A110" s="1383" t="s">
        <v>848</v>
      </c>
      <c r="B110" s="1383"/>
      <c r="C110" s="1383"/>
      <c r="D110" s="1695">
        <v>11150</v>
      </c>
      <c r="E110" s="1695">
        <v>12650</v>
      </c>
      <c r="F110" s="1693">
        <v>13000</v>
      </c>
      <c r="G110" s="1451"/>
      <c r="H110" s="1451"/>
      <c r="J110" s="898"/>
      <c r="K110" s="898"/>
      <c r="L110" s="1383"/>
    </row>
    <row r="111" spans="1:18" x14ac:dyDescent="0.2">
      <c r="A111" s="1383" t="s">
        <v>849</v>
      </c>
      <c r="B111" s="1383"/>
      <c r="C111" s="1383"/>
      <c r="D111" s="1696">
        <v>7.3999999999999996E-2</v>
      </c>
      <c r="E111" s="1696">
        <v>7.3999999999999996E-2</v>
      </c>
      <c r="F111" s="1425">
        <v>7.3999999999999996E-2</v>
      </c>
      <c r="G111" s="1451"/>
      <c r="H111" s="1451"/>
      <c r="J111" s="898"/>
      <c r="K111" s="898"/>
      <c r="L111" s="1383"/>
    </row>
    <row r="112" spans="1:18" x14ac:dyDescent="0.2">
      <c r="A112" s="1383" t="s">
        <v>850</v>
      </c>
      <c r="B112" s="1383"/>
      <c r="C112" s="1383"/>
      <c r="D112" s="1696">
        <v>0.08</v>
      </c>
      <c r="E112" s="1696">
        <v>0.08</v>
      </c>
      <c r="F112" s="1425">
        <v>0.08</v>
      </c>
      <c r="G112" s="1451"/>
      <c r="H112" s="898"/>
      <c r="J112" s="898"/>
      <c r="K112" s="898"/>
      <c r="L112" s="1383"/>
    </row>
    <row r="113" spans="1:17" x14ac:dyDescent="0.2">
      <c r="A113" s="1383"/>
      <c r="B113" s="1279"/>
      <c r="C113" s="1279"/>
      <c r="D113" s="1451"/>
      <c r="E113" s="1451"/>
      <c r="G113" s="898"/>
      <c r="H113" s="898"/>
      <c r="I113" s="1383"/>
    </row>
    <row r="114" spans="1:17" x14ac:dyDescent="0.2">
      <c r="A114" s="1412" t="s">
        <v>854</v>
      </c>
      <c r="B114" s="1412"/>
      <c r="C114" s="1412"/>
      <c r="D114" s="1412" t="s">
        <v>596</v>
      </c>
      <c r="G114" s="898"/>
      <c r="H114" s="898"/>
      <c r="I114" s="898"/>
    </row>
    <row r="115" spans="1:17" x14ac:dyDescent="0.2">
      <c r="C115" s="897" t="s">
        <v>2</v>
      </c>
      <c r="D115" s="737" t="str">
        <f>+D2</f>
        <v>2014/15</v>
      </c>
      <c r="E115" s="737" t="str">
        <f>+E2</f>
        <v>2015/16</v>
      </c>
      <c r="G115" s="898"/>
      <c r="H115" s="898"/>
      <c r="I115" s="898"/>
    </row>
    <row r="116" spans="1:17" x14ac:dyDescent="0.2">
      <c r="A116" s="897" t="s">
        <v>597</v>
      </c>
      <c r="C116" s="1453">
        <v>1.0699999999999999E-2</v>
      </c>
      <c r="D116" s="1437">
        <f t="shared" ref="D116:D121" si="32">+$C116*$D$89</f>
        <v>659.90612899999996</v>
      </c>
      <c r="E116" s="1437">
        <v>662.22</v>
      </c>
      <c r="G116" s="898"/>
      <c r="H116" s="898"/>
      <c r="I116" s="898"/>
    </row>
    <row r="117" spans="1:17" x14ac:dyDescent="0.2">
      <c r="A117" s="897" t="s">
        <v>598</v>
      </c>
      <c r="C117" s="1453">
        <v>0</v>
      </c>
      <c r="D117" s="1437">
        <f t="shared" si="32"/>
        <v>0</v>
      </c>
      <c r="E117" s="1437">
        <f t="shared" ref="E117:E120" si="33">+$C117*$E$89</f>
        <v>0</v>
      </c>
      <c r="G117" s="898"/>
      <c r="H117" s="898"/>
      <c r="I117" s="898"/>
    </row>
    <row r="118" spans="1:17" x14ac:dyDescent="0.2">
      <c r="A118" s="897" t="s">
        <v>599</v>
      </c>
      <c r="C118" s="1453">
        <v>0</v>
      </c>
      <c r="D118" s="1437">
        <f t="shared" si="32"/>
        <v>0</v>
      </c>
      <c r="E118" s="1437">
        <f t="shared" si="33"/>
        <v>0</v>
      </c>
      <c r="G118" s="898"/>
      <c r="H118" s="898"/>
      <c r="I118" s="898"/>
    </row>
    <row r="119" spans="1:17" x14ac:dyDescent="0.2">
      <c r="A119" s="897" t="s">
        <v>385</v>
      </c>
      <c r="C119" s="1453">
        <v>5.1000000000000004E-3</v>
      </c>
      <c r="D119" s="1437">
        <f t="shared" si="32"/>
        <v>314.53469700000005</v>
      </c>
      <c r="E119" s="1437">
        <v>315.64</v>
      </c>
      <c r="G119" s="898"/>
      <c r="H119" s="898"/>
      <c r="I119" s="898"/>
    </row>
    <row r="120" spans="1:17" x14ac:dyDescent="0.2">
      <c r="A120" s="897" t="s">
        <v>600</v>
      </c>
      <c r="C120" s="1453">
        <v>0</v>
      </c>
      <c r="D120" s="1437">
        <f t="shared" si="32"/>
        <v>0</v>
      </c>
      <c r="E120" s="1437">
        <f t="shared" si="33"/>
        <v>0</v>
      </c>
      <c r="G120" s="898"/>
      <c r="H120" s="898"/>
      <c r="I120" s="898"/>
    </row>
    <row r="121" spans="1:17" x14ac:dyDescent="0.2">
      <c r="A121" s="897" t="s">
        <v>385</v>
      </c>
      <c r="C121" s="1453">
        <v>5.1000000000000004E-3</v>
      </c>
      <c r="D121" s="1437">
        <f t="shared" si="32"/>
        <v>314.53469700000005</v>
      </c>
      <c r="E121" s="1437">
        <v>315.64</v>
      </c>
      <c r="F121" s="898"/>
      <c r="G121" s="898"/>
      <c r="H121" s="898"/>
      <c r="I121" s="1413"/>
    </row>
    <row r="122" spans="1:17" x14ac:dyDescent="0.2">
      <c r="C122" s="1382"/>
      <c r="E122" s="898"/>
      <c r="F122" s="898"/>
      <c r="G122" s="898"/>
      <c r="H122" s="1413"/>
    </row>
    <row r="123" spans="1:17" x14ac:dyDescent="0.2">
      <c r="C123" s="1383" t="s">
        <v>558</v>
      </c>
      <c r="D123" s="1279" t="s">
        <v>534</v>
      </c>
      <c r="F123" s="898"/>
      <c r="G123" s="898"/>
      <c r="H123" s="898"/>
      <c r="I123" s="880"/>
      <c r="J123" s="880"/>
      <c r="K123" s="880"/>
      <c r="L123" s="880"/>
      <c r="M123" s="880"/>
      <c r="N123" s="880"/>
      <c r="O123" s="880"/>
      <c r="P123" s="880"/>
      <c r="Q123" s="880"/>
    </row>
    <row r="124" spans="1:17" x14ac:dyDescent="0.2">
      <c r="A124" s="737" t="s">
        <v>559</v>
      </c>
      <c r="C124" s="897" t="s">
        <v>873</v>
      </c>
      <c r="G124" s="1538">
        <f>G67</f>
        <v>2E-3</v>
      </c>
      <c r="H124" s="1538"/>
      <c r="I124" s="880"/>
      <c r="J124" s="880"/>
      <c r="K124" s="880"/>
      <c r="L124" s="880"/>
      <c r="M124" s="880"/>
      <c r="N124" s="880"/>
      <c r="O124" s="880"/>
      <c r="P124" s="880"/>
      <c r="Q124" s="880"/>
    </row>
    <row r="125" spans="1:17" x14ac:dyDescent="0.2">
      <c r="A125" s="1454" t="s">
        <v>561</v>
      </c>
      <c r="B125" s="1455"/>
      <c r="C125" s="737" t="str">
        <f>+D2</f>
        <v>2014/15</v>
      </c>
      <c r="D125" s="896" t="s">
        <v>386</v>
      </c>
      <c r="E125" s="897" t="s">
        <v>870</v>
      </c>
      <c r="F125" s="897" t="s">
        <v>871</v>
      </c>
      <c r="G125" s="1257" t="s">
        <v>872</v>
      </c>
      <c r="H125" s="897" t="s">
        <v>782</v>
      </c>
      <c r="I125" s="880"/>
      <c r="J125" s="880"/>
      <c r="K125" s="880"/>
      <c r="L125" s="880"/>
      <c r="M125" s="880"/>
      <c r="N125" s="880"/>
      <c r="O125" s="880"/>
      <c r="P125" s="880"/>
      <c r="Q125" s="880"/>
    </row>
    <row r="126" spans="1:17" x14ac:dyDescent="0.2">
      <c r="A126" s="1383" t="s">
        <v>57</v>
      </c>
      <c r="B126" s="1455"/>
      <c r="C126" s="738">
        <v>3265.89</v>
      </c>
      <c r="D126" s="899">
        <v>4630.8100000000004</v>
      </c>
      <c r="E126" s="900">
        <v>435</v>
      </c>
      <c r="F126" s="900">
        <f>ROUND(E126*0.9938,0)</f>
        <v>432</v>
      </c>
      <c r="G126" s="900">
        <f>ROUND(F126*(1+G$124),0)</f>
        <v>433</v>
      </c>
      <c r="H126" s="1551">
        <f t="shared" ref="H126:H131" si="34">+C126+D126</f>
        <v>7896.7000000000007</v>
      </c>
      <c r="I126" s="880"/>
      <c r="J126" s="880"/>
      <c r="K126" s="880"/>
      <c r="L126" s="880"/>
      <c r="M126" s="880"/>
      <c r="N126" s="880"/>
      <c r="O126" s="880"/>
      <c r="P126" s="880"/>
      <c r="Q126" s="880"/>
    </row>
    <row r="127" spans="1:17" x14ac:dyDescent="0.2">
      <c r="A127" s="1383" t="s">
        <v>58</v>
      </c>
      <c r="B127" s="1455"/>
      <c r="C127" s="738">
        <f>+C126</f>
        <v>3265.89</v>
      </c>
      <c r="D127" s="899">
        <v>2994.96</v>
      </c>
      <c r="E127" s="900">
        <v>254</v>
      </c>
      <c r="F127" s="900">
        <f t="shared" ref="F127:F131" si="35">ROUND(E127*0.9938,0)</f>
        <v>252</v>
      </c>
      <c r="G127" s="900">
        <f t="shared" ref="G127:G131" si="36">ROUND(F127*(1+G$124),0)</f>
        <v>253</v>
      </c>
      <c r="H127" s="1551">
        <f t="shared" si="34"/>
        <v>6260.85</v>
      </c>
      <c r="I127" s="880"/>
      <c r="J127" s="880"/>
      <c r="K127" s="880"/>
      <c r="L127" s="880"/>
      <c r="M127" s="880"/>
      <c r="N127" s="880"/>
      <c r="O127" s="880"/>
      <c r="P127" s="880"/>
      <c r="Q127" s="880"/>
    </row>
    <row r="128" spans="1:17" x14ac:dyDescent="0.2">
      <c r="A128" s="1383" t="s">
        <v>59</v>
      </c>
      <c r="B128" s="1455"/>
      <c r="C128" s="738">
        <f>+C127</f>
        <v>3265.89</v>
      </c>
      <c r="D128" s="899">
        <f>+D127</f>
        <v>2994.96</v>
      </c>
      <c r="E128" s="900">
        <v>138</v>
      </c>
      <c r="F128" s="900">
        <f t="shared" si="35"/>
        <v>137</v>
      </c>
      <c r="G128" s="900">
        <f t="shared" si="36"/>
        <v>137</v>
      </c>
      <c r="H128" s="1551">
        <f t="shared" si="34"/>
        <v>6260.85</v>
      </c>
      <c r="I128" s="880"/>
      <c r="J128" s="880"/>
      <c r="K128" s="880"/>
      <c r="L128" s="880"/>
      <c r="M128" s="880"/>
      <c r="N128" s="880"/>
      <c r="O128" s="880"/>
      <c r="P128" s="880"/>
      <c r="Q128" s="880"/>
    </row>
    <row r="129" spans="1:19" x14ac:dyDescent="0.2">
      <c r="A129" s="1383" t="s">
        <v>748</v>
      </c>
      <c r="B129" s="1455"/>
      <c r="C129" s="738">
        <v>8200</v>
      </c>
      <c r="D129" s="899">
        <v>0</v>
      </c>
      <c r="E129" s="900">
        <v>0</v>
      </c>
      <c r="F129" s="900">
        <f t="shared" si="35"/>
        <v>0</v>
      </c>
      <c r="G129" s="900">
        <f t="shared" si="36"/>
        <v>0</v>
      </c>
      <c r="H129" s="1551">
        <f t="shared" si="34"/>
        <v>8200</v>
      </c>
      <c r="I129" s="880"/>
      <c r="J129" s="880"/>
      <c r="K129" s="880"/>
      <c r="L129" s="880"/>
      <c r="M129" s="880"/>
      <c r="N129" s="880"/>
      <c r="O129" s="880"/>
      <c r="P129" s="880"/>
      <c r="Q129" s="880"/>
    </row>
    <row r="130" spans="1:19" x14ac:dyDescent="0.2">
      <c r="A130" s="1383" t="s">
        <v>60</v>
      </c>
      <c r="B130" s="1455"/>
      <c r="C130" s="738">
        <f>+C127</f>
        <v>3265.89</v>
      </c>
      <c r="D130" s="899">
        <f>+D128</f>
        <v>2994.96</v>
      </c>
      <c r="E130" s="900">
        <f>+E127</f>
        <v>254</v>
      </c>
      <c r="F130" s="900">
        <f t="shared" si="35"/>
        <v>252</v>
      </c>
      <c r="G130" s="900">
        <f t="shared" si="36"/>
        <v>253</v>
      </c>
      <c r="H130" s="1551">
        <f t="shared" si="34"/>
        <v>6260.85</v>
      </c>
      <c r="I130" s="880"/>
      <c r="J130" s="880"/>
      <c r="K130" s="880"/>
      <c r="L130" s="880"/>
      <c r="M130" s="880"/>
      <c r="N130" s="880"/>
      <c r="O130" s="880"/>
      <c r="P130" s="880"/>
      <c r="Q130" s="880"/>
    </row>
    <row r="131" spans="1:19" x14ac:dyDescent="0.2">
      <c r="A131" s="1383" t="s">
        <v>385</v>
      </c>
      <c r="B131" s="1455"/>
      <c r="C131" s="738">
        <f t="shared" ref="C131" si="37">+C130</f>
        <v>3265.89</v>
      </c>
      <c r="D131" s="899">
        <f t="shared" ref="D131" si="38">+D130</f>
        <v>2994.96</v>
      </c>
      <c r="E131" s="900">
        <f>+E130</f>
        <v>254</v>
      </c>
      <c r="F131" s="900">
        <f t="shared" si="35"/>
        <v>252</v>
      </c>
      <c r="G131" s="900">
        <f t="shared" si="36"/>
        <v>253</v>
      </c>
      <c r="H131" s="1551">
        <f t="shared" si="34"/>
        <v>6260.85</v>
      </c>
      <c r="I131" s="880"/>
      <c r="J131" s="880"/>
      <c r="K131" s="880"/>
      <c r="L131" s="880"/>
      <c r="M131" s="880"/>
      <c r="N131" s="880"/>
      <c r="O131" s="880"/>
      <c r="P131" s="880"/>
      <c r="Q131" s="880"/>
    </row>
    <row r="132" spans="1:19" x14ac:dyDescent="0.2">
      <c r="A132" s="737" t="s">
        <v>560</v>
      </c>
      <c r="C132" s="737"/>
      <c r="D132" s="737"/>
      <c r="H132" s="1549"/>
      <c r="I132" s="880"/>
      <c r="J132" s="880"/>
      <c r="K132" s="880"/>
      <c r="L132" s="880"/>
      <c r="M132" s="880"/>
      <c r="N132" s="880"/>
      <c r="O132" s="880"/>
      <c r="P132" s="880"/>
      <c r="Q132" s="880"/>
    </row>
    <row r="133" spans="1:19" x14ac:dyDescent="0.2">
      <c r="A133" s="1454" t="s">
        <v>561</v>
      </c>
      <c r="B133" s="1455"/>
      <c r="C133" s="737" t="str">
        <f>D2</f>
        <v>2014/15</v>
      </c>
      <c r="D133" s="737"/>
      <c r="H133" s="1549"/>
      <c r="I133" s="880"/>
      <c r="J133" s="880"/>
      <c r="K133" s="880"/>
      <c r="L133" s="880"/>
      <c r="M133" s="880"/>
      <c r="N133" s="880"/>
      <c r="O133" s="880"/>
      <c r="P133" s="880"/>
      <c r="Q133" s="880"/>
    </row>
    <row r="134" spans="1:19" x14ac:dyDescent="0.2">
      <c r="A134" s="1383" t="s">
        <v>57</v>
      </c>
      <c r="B134" s="1455"/>
      <c r="C134" s="738">
        <v>1647.92</v>
      </c>
      <c r="D134" s="1382">
        <f t="shared" ref="D134:E137" si="39">+D126</f>
        <v>4630.8100000000004</v>
      </c>
      <c r="E134" s="1427">
        <f t="shared" si="39"/>
        <v>435</v>
      </c>
      <c r="F134" s="1427">
        <f t="shared" ref="F134:G134" si="40">+F126</f>
        <v>432</v>
      </c>
      <c r="G134" s="1427">
        <f t="shared" si="40"/>
        <v>433</v>
      </c>
      <c r="H134" s="1551">
        <f t="shared" ref="H134:H139" si="41">+C134+D134</f>
        <v>6278.7300000000005</v>
      </c>
      <c r="I134" s="880"/>
      <c r="J134" s="880"/>
      <c r="K134" s="880"/>
      <c r="L134" s="880"/>
      <c r="M134" s="880"/>
      <c r="N134" s="880"/>
      <c r="O134" s="880"/>
      <c r="P134" s="880"/>
      <c r="Q134" s="880"/>
    </row>
    <row r="135" spans="1:19" x14ac:dyDescent="0.2">
      <c r="A135" s="1383" t="s">
        <v>58</v>
      </c>
      <c r="B135" s="1455"/>
      <c r="C135" s="738">
        <v>1617.95</v>
      </c>
      <c r="D135" s="1382">
        <f t="shared" si="39"/>
        <v>2994.96</v>
      </c>
      <c r="E135" s="1427">
        <f t="shared" si="39"/>
        <v>254</v>
      </c>
      <c r="F135" s="1427">
        <f t="shared" ref="F135:G135" si="42">+F127</f>
        <v>252</v>
      </c>
      <c r="G135" s="1427">
        <f t="shared" si="42"/>
        <v>253</v>
      </c>
      <c r="H135" s="1551">
        <f t="shared" si="41"/>
        <v>4612.91</v>
      </c>
      <c r="I135" s="880"/>
      <c r="J135" s="880"/>
      <c r="K135" s="880"/>
      <c r="L135" s="880"/>
      <c r="M135" s="880"/>
      <c r="N135" s="880"/>
      <c r="O135" s="880"/>
      <c r="P135" s="880"/>
      <c r="Q135" s="880"/>
    </row>
    <row r="136" spans="1:19" x14ac:dyDescent="0.2">
      <c r="A136" s="1383" t="s">
        <v>59</v>
      </c>
      <c r="B136" s="1455"/>
      <c r="C136" s="738">
        <f>+C135</f>
        <v>1617.95</v>
      </c>
      <c r="D136" s="1382">
        <f t="shared" si="39"/>
        <v>2994.96</v>
      </c>
      <c r="E136" s="1427">
        <f t="shared" si="39"/>
        <v>138</v>
      </c>
      <c r="F136" s="1427">
        <f t="shared" ref="F136:G136" si="43">+F128</f>
        <v>137</v>
      </c>
      <c r="G136" s="1427">
        <f t="shared" si="43"/>
        <v>137</v>
      </c>
      <c r="H136" s="1551">
        <f t="shared" si="41"/>
        <v>4612.91</v>
      </c>
      <c r="I136" s="880"/>
      <c r="J136" s="880"/>
      <c r="K136" s="880"/>
      <c r="L136" s="880"/>
      <c r="M136" s="880"/>
      <c r="N136" s="880"/>
      <c r="O136" s="880"/>
      <c r="P136" s="880"/>
      <c r="Q136" s="880"/>
    </row>
    <row r="137" spans="1:19" x14ac:dyDescent="0.2">
      <c r="A137" s="1383" t="s">
        <v>748</v>
      </c>
      <c r="B137" s="1455"/>
      <c r="C137" s="738">
        <f>+C129</f>
        <v>8200</v>
      </c>
      <c r="D137" s="1382">
        <f t="shared" si="39"/>
        <v>0</v>
      </c>
      <c r="E137" s="1427">
        <v>0</v>
      </c>
      <c r="F137" s="1427">
        <v>0</v>
      </c>
      <c r="G137" s="1427">
        <v>0</v>
      </c>
      <c r="H137" s="1551">
        <f t="shared" si="41"/>
        <v>8200</v>
      </c>
      <c r="I137" s="880"/>
      <c r="J137" s="880"/>
      <c r="K137" s="880"/>
      <c r="L137" s="880"/>
      <c r="M137" s="880"/>
      <c r="N137" s="880"/>
      <c r="O137" s="880"/>
      <c r="P137" s="880"/>
      <c r="Q137" s="880"/>
    </row>
    <row r="138" spans="1:19" x14ac:dyDescent="0.2">
      <c r="A138" s="1383" t="s">
        <v>60</v>
      </c>
      <c r="B138" s="1455"/>
      <c r="C138" s="738">
        <f>+C135</f>
        <v>1617.95</v>
      </c>
      <c r="D138" s="1382">
        <f t="shared" ref="D138:F139" si="44">+D130</f>
        <v>2994.96</v>
      </c>
      <c r="E138" s="1427">
        <f t="shared" si="44"/>
        <v>254</v>
      </c>
      <c r="F138" s="1427">
        <f t="shared" si="44"/>
        <v>252</v>
      </c>
      <c r="G138" s="1427">
        <f t="shared" ref="G138" si="45">+G130</f>
        <v>253</v>
      </c>
      <c r="H138" s="1551">
        <f t="shared" si="41"/>
        <v>4612.91</v>
      </c>
      <c r="I138" s="880"/>
      <c r="J138" s="880"/>
      <c r="K138" s="880"/>
      <c r="L138" s="880"/>
      <c r="M138" s="880"/>
      <c r="N138" s="880"/>
      <c r="O138" s="880"/>
      <c r="P138" s="880"/>
      <c r="Q138" s="880"/>
    </row>
    <row r="139" spans="1:19" x14ac:dyDescent="0.2">
      <c r="A139" s="1383" t="s">
        <v>385</v>
      </c>
      <c r="B139" s="1455"/>
      <c r="C139" s="738">
        <f t="shared" ref="C139" si="46">+C138</f>
        <v>1617.95</v>
      </c>
      <c r="D139" s="1382">
        <f t="shared" si="44"/>
        <v>2994.96</v>
      </c>
      <c r="E139" s="1427">
        <f t="shared" si="44"/>
        <v>254</v>
      </c>
      <c r="F139" s="1427">
        <f t="shared" si="44"/>
        <v>252</v>
      </c>
      <c r="G139" s="1427">
        <f t="shared" ref="G139" si="47">+G131</f>
        <v>253</v>
      </c>
      <c r="H139" s="1551">
        <f t="shared" si="41"/>
        <v>4612.91</v>
      </c>
      <c r="I139" s="880"/>
      <c r="J139" s="880"/>
      <c r="K139" s="880"/>
      <c r="L139" s="880"/>
      <c r="M139" s="880"/>
      <c r="N139" s="880"/>
      <c r="O139" s="880"/>
      <c r="P139" s="880"/>
      <c r="Q139" s="880"/>
    </row>
    <row r="140" spans="1:19" s="1279" customFormat="1" x14ac:dyDescent="0.2">
      <c r="A140" s="1383"/>
      <c r="B140" s="1455"/>
      <c r="C140" s="1382"/>
      <c r="D140" s="1382"/>
      <c r="E140" s="1427"/>
      <c r="F140" s="1427"/>
      <c r="G140" s="1427"/>
      <c r="H140" s="1427"/>
      <c r="I140" s="1382"/>
      <c r="J140" s="1382"/>
      <c r="K140" s="1427"/>
      <c r="L140" s="1427"/>
      <c r="M140" s="1427"/>
      <c r="N140" s="1427"/>
      <c r="O140" s="1427"/>
      <c r="P140" s="1427"/>
    </row>
    <row r="141" spans="1:19" x14ac:dyDescent="0.2">
      <c r="A141" s="1456" t="s">
        <v>418</v>
      </c>
      <c r="B141" s="1457"/>
      <c r="C141" s="1552">
        <v>41852</v>
      </c>
      <c r="D141" s="1458" t="s">
        <v>808</v>
      </c>
    </row>
    <row r="142" spans="1:19" x14ac:dyDescent="0.2">
      <c r="A142" s="1426" t="s">
        <v>606</v>
      </c>
      <c r="B142" s="1459"/>
      <c r="C142" s="1460">
        <v>1</v>
      </c>
      <c r="D142" s="1460">
        <v>2</v>
      </c>
      <c r="E142" s="1460">
        <v>3</v>
      </c>
      <c r="F142" s="1460">
        <v>4</v>
      </c>
      <c r="G142" s="1460">
        <v>5</v>
      </c>
      <c r="H142" s="1460">
        <v>6</v>
      </c>
      <c r="I142" s="1460">
        <v>7</v>
      </c>
      <c r="J142" s="1460">
        <v>8</v>
      </c>
      <c r="K142" s="1460">
        <v>9</v>
      </c>
      <c r="L142" s="1460">
        <v>10</v>
      </c>
      <c r="M142" s="1460">
        <v>11</v>
      </c>
      <c r="N142" s="1460">
        <v>12</v>
      </c>
      <c r="O142" s="1460">
        <v>13</v>
      </c>
      <c r="P142" s="1460">
        <v>14</v>
      </c>
      <c r="Q142" s="1460">
        <v>15</v>
      </c>
      <c r="R142" s="1460">
        <v>16</v>
      </c>
      <c r="S142" s="1460" t="s">
        <v>607</v>
      </c>
    </row>
    <row r="143" spans="1:19" x14ac:dyDescent="0.2">
      <c r="A143" s="1461" t="s">
        <v>110</v>
      </c>
      <c r="B143" s="1462">
        <f>S143</f>
        <v>12</v>
      </c>
      <c r="C143" s="1463">
        <v>2474</v>
      </c>
      <c r="D143" s="1464">
        <v>2535</v>
      </c>
      <c r="E143" s="1464">
        <v>2612</v>
      </c>
      <c r="F143" s="1464">
        <v>2689</v>
      </c>
      <c r="G143" s="1464">
        <v>2767</v>
      </c>
      <c r="H143" s="1464">
        <v>2863</v>
      </c>
      <c r="I143" s="1464">
        <v>2975</v>
      </c>
      <c r="J143" s="1464">
        <v>3103</v>
      </c>
      <c r="K143" s="1464">
        <v>3248</v>
      </c>
      <c r="L143" s="1464">
        <v>3408</v>
      </c>
      <c r="M143" s="1464">
        <v>3587</v>
      </c>
      <c r="N143" s="1464">
        <v>3784</v>
      </c>
      <c r="O143" s="1464"/>
      <c r="P143" s="1464"/>
      <c r="Q143" s="1464"/>
      <c r="R143" s="1465"/>
      <c r="S143" s="1466">
        <f t="shared" ref="S143:S167" si="48">COUNTA(C143:R143)</f>
        <v>12</v>
      </c>
    </row>
    <row r="144" spans="1:19" x14ac:dyDescent="0.2">
      <c r="A144" s="1467" t="s">
        <v>111</v>
      </c>
      <c r="B144" s="1468">
        <f t="shared" ref="B144:B167" si="49">S144</f>
        <v>12</v>
      </c>
      <c r="C144" s="1469">
        <v>2490</v>
      </c>
      <c r="D144" s="1470">
        <v>2609</v>
      </c>
      <c r="E144" s="1470">
        <v>2746</v>
      </c>
      <c r="F144" s="1470">
        <v>2882</v>
      </c>
      <c r="G144" s="1470">
        <v>3018</v>
      </c>
      <c r="H144" s="1470">
        <v>3170</v>
      </c>
      <c r="I144" s="1470">
        <v>3338</v>
      </c>
      <c r="J144" s="1470">
        <v>3521</v>
      </c>
      <c r="K144" s="1470">
        <v>3720</v>
      </c>
      <c r="L144" s="1470">
        <v>3936</v>
      </c>
      <c r="M144" s="1470">
        <v>4166</v>
      </c>
      <c r="N144" s="1470">
        <v>4413</v>
      </c>
      <c r="O144" s="1471"/>
      <c r="P144" s="1471"/>
      <c r="Q144" s="1471"/>
      <c r="R144" s="1472"/>
      <c r="S144" s="1473">
        <f t="shared" si="48"/>
        <v>12</v>
      </c>
    </row>
    <row r="145" spans="1:19" x14ac:dyDescent="0.2">
      <c r="A145" s="1467" t="s">
        <v>112</v>
      </c>
      <c r="B145" s="1468">
        <f t="shared" si="49"/>
        <v>12</v>
      </c>
      <c r="C145" s="1469">
        <v>2500</v>
      </c>
      <c r="D145" s="1470">
        <v>2648</v>
      </c>
      <c r="E145" s="1470">
        <v>2821</v>
      </c>
      <c r="F145" s="1470">
        <v>2995</v>
      </c>
      <c r="G145" s="1470">
        <v>3168</v>
      </c>
      <c r="H145" s="1470">
        <v>3363</v>
      </c>
      <c r="I145" s="1470">
        <v>3580</v>
      </c>
      <c r="J145" s="1470">
        <v>3823</v>
      </c>
      <c r="K145" s="1470">
        <v>4087</v>
      </c>
      <c r="L145" s="1470">
        <v>4376</v>
      </c>
      <c r="M145" s="1470">
        <v>4687</v>
      </c>
      <c r="N145" s="1470">
        <v>5022</v>
      </c>
      <c r="O145" s="1471"/>
      <c r="P145" s="1471"/>
      <c r="Q145" s="1471"/>
      <c r="R145" s="1472"/>
      <c r="S145" s="1473">
        <f t="shared" si="48"/>
        <v>12</v>
      </c>
    </row>
    <row r="146" spans="1:19" x14ac:dyDescent="0.2">
      <c r="A146" s="1467" t="s">
        <v>113</v>
      </c>
      <c r="B146" s="1468">
        <f t="shared" si="49"/>
        <v>12</v>
      </c>
      <c r="C146" s="1469">
        <v>3215</v>
      </c>
      <c r="D146" s="1470">
        <v>3336</v>
      </c>
      <c r="E146" s="1470">
        <v>3443</v>
      </c>
      <c r="F146" s="1470">
        <v>3660</v>
      </c>
      <c r="G146" s="1470">
        <v>3902</v>
      </c>
      <c r="H146" s="1470">
        <v>4123</v>
      </c>
      <c r="I146" s="1470">
        <v>4342</v>
      </c>
      <c r="J146" s="1470">
        <v>4563</v>
      </c>
      <c r="K146" s="1470">
        <v>4784</v>
      </c>
      <c r="L146" s="1470">
        <v>5003</v>
      </c>
      <c r="M146" s="1470">
        <v>5223</v>
      </c>
      <c r="N146" s="1470">
        <v>5446</v>
      </c>
      <c r="O146" s="1471"/>
      <c r="P146" s="1471"/>
      <c r="Q146" s="1471"/>
      <c r="R146" s="1472"/>
      <c r="S146" s="1473">
        <f t="shared" si="48"/>
        <v>12</v>
      </c>
    </row>
    <row r="147" spans="1:19" x14ac:dyDescent="0.2">
      <c r="A147" s="1467">
        <v>1</v>
      </c>
      <c r="B147" s="1468">
        <f t="shared" si="49"/>
        <v>7</v>
      </c>
      <c r="C147" s="1469">
        <v>1530</v>
      </c>
      <c r="D147" s="1470">
        <v>1592</v>
      </c>
      <c r="E147" s="1470">
        <v>1652</v>
      </c>
      <c r="F147" s="1470">
        <v>1680</v>
      </c>
      <c r="G147" s="1470">
        <v>1712</v>
      </c>
      <c r="H147" s="1470">
        <v>1744</v>
      </c>
      <c r="I147" s="1470">
        <v>1786</v>
      </c>
      <c r="J147" s="1471"/>
      <c r="K147" s="1471"/>
      <c r="L147" s="1471"/>
      <c r="M147" s="1471"/>
      <c r="N147" s="1471"/>
      <c r="O147" s="1471"/>
      <c r="P147" s="1471"/>
      <c r="Q147" s="1471"/>
      <c r="R147" s="1472"/>
      <c r="S147" s="1473">
        <f t="shared" si="48"/>
        <v>7</v>
      </c>
    </row>
    <row r="148" spans="1:19" x14ac:dyDescent="0.2">
      <c r="A148" s="1467">
        <v>2</v>
      </c>
      <c r="B148" s="1468">
        <f t="shared" si="49"/>
        <v>8</v>
      </c>
      <c r="C148" s="1469">
        <v>1564</v>
      </c>
      <c r="D148" s="1470">
        <v>1623</v>
      </c>
      <c r="E148" s="1470">
        <v>1680</v>
      </c>
      <c r="F148" s="1470">
        <v>1744</v>
      </c>
      <c r="G148" s="1470">
        <v>1786</v>
      </c>
      <c r="H148" s="1470">
        <v>1836</v>
      </c>
      <c r="I148" s="1470">
        <v>1895</v>
      </c>
      <c r="J148" s="1470">
        <v>1951</v>
      </c>
      <c r="K148" s="1471"/>
      <c r="L148" s="1471"/>
      <c r="M148" s="1471"/>
      <c r="N148" s="1471"/>
      <c r="O148" s="1471"/>
      <c r="P148" s="1471"/>
      <c r="Q148" s="1471"/>
      <c r="R148" s="1472"/>
      <c r="S148" s="1473">
        <f t="shared" si="48"/>
        <v>8</v>
      </c>
    </row>
    <row r="149" spans="1:19" x14ac:dyDescent="0.2">
      <c r="A149" s="1467">
        <v>3</v>
      </c>
      <c r="B149" s="1468">
        <f t="shared" si="49"/>
        <v>9</v>
      </c>
      <c r="C149" s="1469">
        <v>1564</v>
      </c>
      <c r="D149" s="1470">
        <v>1680</v>
      </c>
      <c r="E149" s="1470">
        <v>1744</v>
      </c>
      <c r="F149" s="1470">
        <v>1836</v>
      </c>
      <c r="G149" s="1470">
        <v>1895</v>
      </c>
      <c r="H149" s="1470">
        <v>1951</v>
      </c>
      <c r="I149" s="1470">
        <v>2007</v>
      </c>
      <c r="J149" s="1470">
        <v>2060</v>
      </c>
      <c r="K149" s="1470">
        <v>2114</v>
      </c>
      <c r="L149" s="1471"/>
      <c r="M149" s="1471"/>
      <c r="N149" s="1471"/>
      <c r="O149" s="1471"/>
      <c r="P149" s="1471"/>
      <c r="Q149" s="1471"/>
      <c r="R149" s="1472"/>
      <c r="S149" s="1473">
        <f t="shared" si="48"/>
        <v>9</v>
      </c>
    </row>
    <row r="150" spans="1:19" x14ac:dyDescent="0.2">
      <c r="A150" s="1467">
        <v>4</v>
      </c>
      <c r="B150" s="1468">
        <f t="shared" si="49"/>
        <v>11</v>
      </c>
      <c r="C150" s="1469">
        <v>1592</v>
      </c>
      <c r="D150" s="1470">
        <v>1652</v>
      </c>
      <c r="E150" s="1470">
        <v>1712</v>
      </c>
      <c r="F150" s="1470">
        <v>1786</v>
      </c>
      <c r="G150" s="1470">
        <v>1895</v>
      </c>
      <c r="H150" s="1470">
        <v>1951</v>
      </c>
      <c r="I150" s="1470">
        <v>2007</v>
      </c>
      <c r="J150" s="1470">
        <v>2060</v>
      </c>
      <c r="K150" s="1470">
        <v>2114</v>
      </c>
      <c r="L150" s="1470">
        <v>2166</v>
      </c>
      <c r="M150" s="1470">
        <v>2217</v>
      </c>
      <c r="N150" s="1471"/>
      <c r="O150" s="1471"/>
      <c r="P150" s="1471"/>
      <c r="Q150" s="1471"/>
      <c r="R150" s="1472"/>
      <c r="S150" s="1473">
        <f t="shared" si="48"/>
        <v>11</v>
      </c>
    </row>
    <row r="151" spans="1:19" x14ac:dyDescent="0.2">
      <c r="A151" s="1467">
        <v>5</v>
      </c>
      <c r="B151" s="1468">
        <f t="shared" si="49"/>
        <v>12</v>
      </c>
      <c r="C151" s="1469">
        <v>1623</v>
      </c>
      <c r="D151" s="1470">
        <v>1652</v>
      </c>
      <c r="E151" s="1470">
        <v>1744</v>
      </c>
      <c r="F151" s="1470">
        <v>1836</v>
      </c>
      <c r="G151" s="1470">
        <v>1951</v>
      </c>
      <c r="H151" s="1470">
        <v>2007</v>
      </c>
      <c r="I151" s="1470">
        <v>2060</v>
      </c>
      <c r="J151" s="1470">
        <v>2114</v>
      </c>
      <c r="K151" s="1470">
        <v>2166</v>
      </c>
      <c r="L151" s="1470">
        <v>2217</v>
      </c>
      <c r="M151" s="1470">
        <v>2270</v>
      </c>
      <c r="N151" s="1470">
        <v>2330</v>
      </c>
      <c r="O151" s="1471"/>
      <c r="P151" s="1471"/>
      <c r="Q151" s="1471"/>
      <c r="R151" s="1472"/>
      <c r="S151" s="1473">
        <f t="shared" si="48"/>
        <v>12</v>
      </c>
    </row>
    <row r="152" spans="1:19" x14ac:dyDescent="0.2">
      <c r="A152" s="1467">
        <v>6</v>
      </c>
      <c r="B152" s="1468">
        <f t="shared" si="49"/>
        <v>11</v>
      </c>
      <c r="C152" s="1469">
        <v>1680</v>
      </c>
      <c r="D152" s="1470">
        <v>1744</v>
      </c>
      <c r="E152" s="1470">
        <v>1951</v>
      </c>
      <c r="F152" s="1470">
        <v>2060</v>
      </c>
      <c r="G152" s="1470">
        <v>2114</v>
      </c>
      <c r="H152" s="1470">
        <v>2166</v>
      </c>
      <c r="I152" s="1470">
        <v>2217</v>
      </c>
      <c r="J152" s="1470">
        <v>2270</v>
      </c>
      <c r="K152" s="1470">
        <v>2330</v>
      </c>
      <c r="L152" s="1470">
        <v>2387</v>
      </c>
      <c r="M152" s="1470">
        <v>2441</v>
      </c>
      <c r="N152" s="1471"/>
      <c r="O152" s="1471"/>
      <c r="P152" s="1471"/>
      <c r="Q152" s="1471"/>
      <c r="R152" s="1472"/>
      <c r="S152" s="1473">
        <f t="shared" si="48"/>
        <v>11</v>
      </c>
    </row>
    <row r="153" spans="1:19" x14ac:dyDescent="0.2">
      <c r="A153" s="1467">
        <v>7</v>
      </c>
      <c r="B153" s="1468">
        <f t="shared" si="49"/>
        <v>12</v>
      </c>
      <c r="C153" s="1469">
        <v>1786</v>
      </c>
      <c r="D153" s="1470">
        <v>1836</v>
      </c>
      <c r="E153" s="1470">
        <v>1951</v>
      </c>
      <c r="F153" s="1470">
        <v>2166</v>
      </c>
      <c r="G153" s="1470">
        <v>2270</v>
      </c>
      <c r="H153" s="1470">
        <v>2330</v>
      </c>
      <c r="I153" s="1470">
        <v>2387</v>
      </c>
      <c r="J153" s="1470">
        <v>2441</v>
      </c>
      <c r="K153" s="1470">
        <v>2500</v>
      </c>
      <c r="L153" s="1470">
        <v>2560</v>
      </c>
      <c r="M153" s="1470">
        <v>2621</v>
      </c>
      <c r="N153" s="1470">
        <v>2692</v>
      </c>
      <c r="O153" s="1471"/>
      <c r="P153" s="1471"/>
      <c r="Q153" s="1471"/>
      <c r="R153" s="1472"/>
      <c r="S153" s="1473">
        <f t="shared" si="48"/>
        <v>12</v>
      </c>
    </row>
    <row r="154" spans="1:19" x14ac:dyDescent="0.2">
      <c r="A154" s="1467">
        <v>8</v>
      </c>
      <c r="B154" s="1468">
        <f t="shared" si="49"/>
        <v>13</v>
      </c>
      <c r="C154" s="1469">
        <v>2007</v>
      </c>
      <c r="D154" s="1470">
        <v>2060</v>
      </c>
      <c r="E154" s="1470">
        <v>2166</v>
      </c>
      <c r="F154" s="1470">
        <v>2387</v>
      </c>
      <c r="G154" s="1470">
        <v>2500</v>
      </c>
      <c r="H154" s="1470">
        <v>2621</v>
      </c>
      <c r="I154" s="1470">
        <v>2692</v>
      </c>
      <c r="J154" s="1470">
        <v>2756</v>
      </c>
      <c r="K154" s="1470">
        <v>2812</v>
      </c>
      <c r="L154" s="1470">
        <v>2874</v>
      </c>
      <c r="M154" s="1470">
        <v>2935</v>
      </c>
      <c r="N154" s="1470">
        <v>2991</v>
      </c>
      <c r="O154" s="1470">
        <v>3045</v>
      </c>
      <c r="P154" s="1471"/>
      <c r="Q154" s="1471"/>
      <c r="R154" s="1472"/>
      <c r="S154" s="1473">
        <f t="shared" si="48"/>
        <v>13</v>
      </c>
    </row>
    <row r="155" spans="1:19" x14ac:dyDescent="0.2">
      <c r="A155" s="1467">
        <v>9</v>
      </c>
      <c r="B155" s="1468">
        <f t="shared" si="49"/>
        <v>9</v>
      </c>
      <c r="C155" s="1469">
        <v>2270</v>
      </c>
      <c r="D155" s="1470">
        <v>2387</v>
      </c>
      <c r="E155" s="1470">
        <v>2621</v>
      </c>
      <c r="F155" s="1470">
        <v>2756</v>
      </c>
      <c r="G155" s="1470">
        <v>2874</v>
      </c>
      <c r="H155" s="1470">
        <v>2991</v>
      </c>
      <c r="I155" s="1470">
        <v>3104</v>
      </c>
      <c r="J155" s="1470">
        <v>3215</v>
      </c>
      <c r="K155" s="1470">
        <v>3336</v>
      </c>
      <c r="L155" s="1471"/>
      <c r="M155" s="1471"/>
      <c r="N155" s="1471"/>
      <c r="O155" s="1471"/>
      <c r="P155" s="1471"/>
      <c r="Q155" s="1471"/>
      <c r="R155" s="1472"/>
      <c r="S155" s="1473">
        <f t="shared" si="48"/>
        <v>9</v>
      </c>
    </row>
    <row r="156" spans="1:19" x14ac:dyDescent="0.2">
      <c r="A156" s="1467">
        <v>10</v>
      </c>
      <c r="B156" s="1468">
        <f t="shared" si="49"/>
        <v>13</v>
      </c>
      <c r="C156" s="1469">
        <v>2270</v>
      </c>
      <c r="D156" s="1470">
        <v>2500</v>
      </c>
      <c r="E156" s="1470">
        <v>2621</v>
      </c>
      <c r="F156" s="1470">
        <v>2756</v>
      </c>
      <c r="G156" s="1470">
        <v>2874</v>
      </c>
      <c r="H156" s="1470">
        <v>2991</v>
      </c>
      <c r="I156" s="1470">
        <v>3104</v>
      </c>
      <c r="J156" s="1470">
        <v>3215</v>
      </c>
      <c r="K156" s="1470">
        <v>3336</v>
      </c>
      <c r="L156" s="1470">
        <v>3443</v>
      </c>
      <c r="M156" s="1470">
        <v>3553</v>
      </c>
      <c r="N156" s="1470">
        <v>3660</v>
      </c>
      <c r="O156" s="1470">
        <v>3784</v>
      </c>
      <c r="P156" s="1471"/>
      <c r="Q156" s="1471"/>
      <c r="R156" s="1472"/>
      <c r="S156" s="1473">
        <f t="shared" si="48"/>
        <v>13</v>
      </c>
    </row>
    <row r="157" spans="1:19" x14ac:dyDescent="0.2">
      <c r="A157" s="1467">
        <v>11</v>
      </c>
      <c r="B157" s="1468">
        <f t="shared" si="49"/>
        <v>16</v>
      </c>
      <c r="C157" s="1469">
        <v>2387</v>
      </c>
      <c r="D157" s="1470">
        <v>2500</v>
      </c>
      <c r="E157" s="1470">
        <v>2621</v>
      </c>
      <c r="F157" s="1470">
        <v>2756</v>
      </c>
      <c r="G157" s="1470">
        <v>2882</v>
      </c>
      <c r="H157" s="1470">
        <v>3008</v>
      </c>
      <c r="I157" s="1470">
        <v>3134</v>
      </c>
      <c r="J157" s="1470">
        <v>3336</v>
      </c>
      <c r="K157" s="1470">
        <v>3470</v>
      </c>
      <c r="L157" s="1470">
        <v>3605</v>
      </c>
      <c r="M157" s="1470">
        <v>3739</v>
      </c>
      <c r="N157" s="1470">
        <v>3875</v>
      </c>
      <c r="O157" s="1470">
        <v>4010</v>
      </c>
      <c r="P157" s="1470">
        <v>4144</v>
      </c>
      <c r="Q157" s="1470">
        <v>4280</v>
      </c>
      <c r="R157" s="1474">
        <v>4413</v>
      </c>
      <c r="S157" s="1473">
        <f t="shared" si="48"/>
        <v>16</v>
      </c>
    </row>
    <row r="158" spans="1:19" x14ac:dyDescent="0.2">
      <c r="A158" s="1467">
        <v>12</v>
      </c>
      <c r="B158" s="1468">
        <f t="shared" si="49"/>
        <v>16</v>
      </c>
      <c r="C158" s="1469">
        <v>3215</v>
      </c>
      <c r="D158" s="1470">
        <v>3336</v>
      </c>
      <c r="E158" s="1470">
        <v>3443</v>
      </c>
      <c r="F158" s="1470">
        <v>3553</v>
      </c>
      <c r="G158" s="1470">
        <v>3660</v>
      </c>
      <c r="H158" s="1470">
        <v>3784</v>
      </c>
      <c r="I158" s="1470">
        <v>4021</v>
      </c>
      <c r="J158" s="1470">
        <v>4132</v>
      </c>
      <c r="K158" s="1470">
        <v>4246</v>
      </c>
      <c r="L158" s="1470">
        <v>4356</v>
      </c>
      <c r="M158" s="1470">
        <v>4472</v>
      </c>
      <c r="N158" s="1470">
        <v>4585</v>
      </c>
      <c r="O158" s="1470">
        <v>4696</v>
      </c>
      <c r="P158" s="1470">
        <v>4808</v>
      </c>
      <c r="Q158" s="1470">
        <v>4950</v>
      </c>
      <c r="R158" s="1474">
        <v>5022</v>
      </c>
      <c r="S158" s="1473">
        <f t="shared" si="48"/>
        <v>16</v>
      </c>
    </row>
    <row r="159" spans="1:19" x14ac:dyDescent="0.2">
      <c r="A159" s="1467">
        <v>13</v>
      </c>
      <c r="B159" s="1468">
        <f t="shared" si="49"/>
        <v>13</v>
      </c>
      <c r="C159" s="1469">
        <v>3902</v>
      </c>
      <c r="D159" s="1470">
        <v>4021</v>
      </c>
      <c r="E159" s="1470">
        <v>4132</v>
      </c>
      <c r="F159" s="1470">
        <v>4246</v>
      </c>
      <c r="G159" s="1470">
        <v>4356</v>
      </c>
      <c r="H159" s="1470">
        <v>4585</v>
      </c>
      <c r="I159" s="1470">
        <v>4696</v>
      </c>
      <c r="J159" s="1470">
        <v>4808</v>
      </c>
      <c r="K159" s="1470">
        <v>4950</v>
      </c>
      <c r="L159" s="1470">
        <v>5092</v>
      </c>
      <c r="M159" s="1470">
        <v>5234</v>
      </c>
      <c r="N159" s="1470">
        <v>5377</v>
      </c>
      <c r="O159" s="1470">
        <v>5446</v>
      </c>
      <c r="P159" s="1471"/>
      <c r="Q159" s="1471"/>
      <c r="R159" s="1472"/>
      <c r="S159" s="1473">
        <f t="shared" si="48"/>
        <v>13</v>
      </c>
    </row>
    <row r="160" spans="1:19" x14ac:dyDescent="0.2">
      <c r="A160" s="1467">
        <v>14</v>
      </c>
      <c r="B160" s="1468">
        <f t="shared" si="49"/>
        <v>11</v>
      </c>
      <c r="C160" s="1469">
        <v>4472</v>
      </c>
      <c r="D160" s="1470">
        <v>4585</v>
      </c>
      <c r="E160" s="1470">
        <v>4808</v>
      </c>
      <c r="F160" s="1470">
        <v>4950</v>
      </c>
      <c r="G160" s="1470">
        <v>5092</v>
      </c>
      <c r="H160" s="1470">
        <v>5234</v>
      </c>
      <c r="I160" s="1470">
        <v>5377</v>
      </c>
      <c r="J160" s="1470">
        <v>5520</v>
      </c>
      <c r="K160" s="1470">
        <v>5670</v>
      </c>
      <c r="L160" s="1470">
        <v>5825</v>
      </c>
      <c r="M160" s="1470">
        <v>5984</v>
      </c>
      <c r="N160" s="1471"/>
      <c r="O160" s="1471"/>
      <c r="P160" s="1471"/>
      <c r="Q160" s="1471"/>
      <c r="R160" s="1472"/>
      <c r="S160" s="1473">
        <f t="shared" si="48"/>
        <v>11</v>
      </c>
    </row>
    <row r="161" spans="1:21" x14ac:dyDescent="0.2">
      <c r="A161" s="1467">
        <v>15</v>
      </c>
      <c r="B161" s="1468">
        <f t="shared" si="49"/>
        <v>12</v>
      </c>
      <c r="C161" s="1469">
        <v>4696</v>
      </c>
      <c r="D161" s="1470">
        <v>4808</v>
      </c>
      <c r="E161" s="1470">
        <v>4950</v>
      </c>
      <c r="F161" s="1470">
        <v>5234</v>
      </c>
      <c r="G161" s="1470">
        <v>5377</v>
      </c>
      <c r="H161" s="1470">
        <v>5520</v>
      </c>
      <c r="I161" s="1470">
        <v>5670</v>
      </c>
      <c r="J161" s="1470">
        <v>5825</v>
      </c>
      <c r="K161" s="1470">
        <v>5984</v>
      </c>
      <c r="L161" s="1470">
        <v>6174</v>
      </c>
      <c r="M161" s="1470">
        <v>6372</v>
      </c>
      <c r="N161" s="1470">
        <v>6573</v>
      </c>
      <c r="O161" s="1471"/>
      <c r="P161" s="1471"/>
      <c r="Q161" s="1471"/>
      <c r="R161" s="1472"/>
      <c r="S161" s="1473">
        <f t="shared" si="48"/>
        <v>12</v>
      </c>
    </row>
    <row r="162" spans="1:21" x14ac:dyDescent="0.2">
      <c r="A162" s="1467">
        <v>16</v>
      </c>
      <c r="B162" s="1468">
        <f t="shared" si="49"/>
        <v>12</v>
      </c>
      <c r="C162" s="1469">
        <v>5092</v>
      </c>
      <c r="D162" s="1470">
        <v>5234</v>
      </c>
      <c r="E162" s="1470">
        <v>5377</v>
      </c>
      <c r="F162" s="1470">
        <v>5670</v>
      </c>
      <c r="G162" s="1470">
        <v>5825</v>
      </c>
      <c r="H162" s="1470">
        <v>5984</v>
      </c>
      <c r="I162" s="1470">
        <v>6174</v>
      </c>
      <c r="J162" s="1470">
        <v>6372</v>
      </c>
      <c r="K162" s="1470">
        <v>6573</v>
      </c>
      <c r="L162" s="1470">
        <v>6784</v>
      </c>
      <c r="M162" s="1470">
        <v>6999</v>
      </c>
      <c r="N162" s="1470">
        <v>7223</v>
      </c>
      <c r="O162" s="1471"/>
      <c r="P162" s="1471"/>
      <c r="Q162" s="1471"/>
      <c r="R162" s="1472"/>
      <c r="S162" s="1473">
        <f t="shared" si="48"/>
        <v>12</v>
      </c>
    </row>
    <row r="163" spans="1:21" x14ac:dyDescent="0.2">
      <c r="A163" s="1467">
        <v>17</v>
      </c>
      <c r="B163" s="1468">
        <f t="shared" si="49"/>
        <v>12</v>
      </c>
      <c r="C163" s="1469">
        <v>5520</v>
      </c>
      <c r="D163" s="1470">
        <v>5670</v>
      </c>
      <c r="E163" s="1470">
        <v>5825</v>
      </c>
      <c r="F163" s="1470">
        <v>6174</v>
      </c>
      <c r="G163" s="1470">
        <v>6372</v>
      </c>
      <c r="H163" s="1470">
        <v>6573</v>
      </c>
      <c r="I163" s="1470">
        <v>6784</v>
      </c>
      <c r="J163" s="1470">
        <v>6999</v>
      </c>
      <c r="K163" s="1470">
        <v>7223</v>
      </c>
      <c r="L163" s="1470">
        <v>7454</v>
      </c>
      <c r="M163" s="1470">
        <v>7691</v>
      </c>
      <c r="N163" s="1470">
        <v>7936</v>
      </c>
      <c r="O163" s="1471"/>
      <c r="P163" s="1471"/>
      <c r="Q163" s="1471"/>
      <c r="R163" s="1472"/>
      <c r="S163" s="1473">
        <f t="shared" si="48"/>
        <v>12</v>
      </c>
    </row>
    <row r="164" spans="1:21" x14ac:dyDescent="0.2">
      <c r="A164" s="1467" t="s">
        <v>142</v>
      </c>
      <c r="B164" s="1468">
        <f t="shared" si="49"/>
        <v>9</v>
      </c>
      <c r="C164" s="1519">
        <v>1495.2</v>
      </c>
      <c r="D164" s="1520">
        <f>+(C164+C147)/2</f>
        <v>1512.6</v>
      </c>
      <c r="E164" s="1470">
        <v>1530</v>
      </c>
      <c r="F164" s="1470">
        <v>1592</v>
      </c>
      <c r="G164" s="1470">
        <v>1652</v>
      </c>
      <c r="H164" s="1470">
        <v>1680</v>
      </c>
      <c r="I164" s="1470">
        <v>1712</v>
      </c>
      <c r="J164" s="1470">
        <v>1744</v>
      </c>
      <c r="K164" s="1470">
        <v>1786</v>
      </c>
      <c r="L164" s="1471"/>
      <c r="M164" s="1471"/>
      <c r="N164" s="1471"/>
      <c r="O164" s="1471"/>
      <c r="P164" s="1471"/>
      <c r="Q164" s="1471"/>
      <c r="R164" s="1472"/>
      <c r="S164" s="1473">
        <f t="shared" si="48"/>
        <v>9</v>
      </c>
    </row>
    <row r="165" spans="1:21" x14ac:dyDescent="0.2">
      <c r="A165" s="1467" t="s">
        <v>143</v>
      </c>
      <c r="B165" s="1468">
        <f t="shared" si="49"/>
        <v>8</v>
      </c>
      <c r="C165" s="1469">
        <v>1564</v>
      </c>
      <c r="D165" s="1470">
        <v>1623</v>
      </c>
      <c r="E165" s="1470">
        <v>1680</v>
      </c>
      <c r="F165" s="1470">
        <v>1744</v>
      </c>
      <c r="G165" s="1470">
        <v>1786</v>
      </c>
      <c r="H165" s="1470">
        <v>1836</v>
      </c>
      <c r="I165" s="1470">
        <v>1895</v>
      </c>
      <c r="J165" s="1470">
        <v>1951</v>
      </c>
      <c r="K165" s="1471"/>
      <c r="L165" s="1471"/>
      <c r="M165" s="1471"/>
      <c r="N165" s="1471"/>
      <c r="O165" s="1471"/>
      <c r="P165" s="1471"/>
      <c r="Q165" s="1471"/>
      <c r="R165" s="1472"/>
      <c r="S165" s="1473">
        <f t="shared" si="48"/>
        <v>8</v>
      </c>
    </row>
    <row r="166" spans="1:21" x14ac:dyDescent="0.2">
      <c r="A166" s="1467" t="s">
        <v>144</v>
      </c>
      <c r="B166" s="1468">
        <f t="shared" si="49"/>
        <v>9</v>
      </c>
      <c r="C166" s="1469">
        <v>1564</v>
      </c>
      <c r="D166" s="1470">
        <v>1680</v>
      </c>
      <c r="E166" s="1470">
        <v>1744</v>
      </c>
      <c r="F166" s="1470">
        <v>1836</v>
      </c>
      <c r="G166" s="1470">
        <v>1895</v>
      </c>
      <c r="H166" s="1470">
        <v>1951</v>
      </c>
      <c r="I166" s="1470">
        <v>2007</v>
      </c>
      <c r="J166" s="1470">
        <v>2060</v>
      </c>
      <c r="K166" s="1475">
        <v>2114</v>
      </c>
      <c r="L166" s="1471"/>
      <c r="M166" s="1471"/>
      <c r="N166" s="1471"/>
      <c r="O166" s="1471"/>
      <c r="P166" s="1471"/>
      <c r="Q166" s="1471"/>
      <c r="R166" s="1472"/>
      <c r="S166" s="1473">
        <f t="shared" si="48"/>
        <v>9</v>
      </c>
    </row>
    <row r="167" spans="1:21" x14ac:dyDescent="0.2">
      <c r="A167" s="1476" t="s">
        <v>419</v>
      </c>
      <c r="B167" s="1477">
        <f t="shared" si="49"/>
        <v>1</v>
      </c>
      <c r="C167" s="1478">
        <v>1237</v>
      </c>
      <c r="D167" s="1479"/>
      <c r="E167" s="1479"/>
      <c r="F167" s="1479"/>
      <c r="G167" s="1479"/>
      <c r="H167" s="1479"/>
      <c r="I167" s="1479"/>
      <c r="J167" s="1479"/>
      <c r="K167" s="1479"/>
      <c r="L167" s="1479"/>
      <c r="M167" s="1479"/>
      <c r="N167" s="1479"/>
      <c r="O167" s="1479"/>
      <c r="P167" s="1479"/>
      <c r="Q167" s="1479"/>
      <c r="R167" s="1480"/>
      <c r="S167" s="1481">
        <f t="shared" si="48"/>
        <v>1</v>
      </c>
    </row>
    <row r="170" spans="1:21" x14ac:dyDescent="0.2">
      <c r="A170" s="1456" t="s">
        <v>418</v>
      </c>
      <c r="B170" s="1457"/>
      <c r="C170" s="1482">
        <v>42005</v>
      </c>
      <c r="D170" s="1458" t="s">
        <v>978</v>
      </c>
      <c r="E170" s="1483"/>
      <c r="F170" s="1484"/>
      <c r="G170" s="1483"/>
      <c r="H170" s="898"/>
      <c r="I170" s="898"/>
      <c r="J170" s="898"/>
      <c r="K170" s="1483"/>
      <c r="L170" s="1483"/>
      <c r="M170" s="1483"/>
      <c r="N170" s="1483"/>
      <c r="O170" s="1483"/>
      <c r="P170" s="1485"/>
      <c r="Q170" s="1485"/>
      <c r="R170" s="1485"/>
      <c r="S170" s="1485"/>
      <c r="T170" s="1391" t="s">
        <v>75</v>
      </c>
      <c r="U170" s="1486"/>
    </row>
    <row r="171" spans="1:21" x14ac:dyDescent="0.2">
      <c r="A171" s="1426" t="s">
        <v>606</v>
      </c>
      <c r="B171" s="1459"/>
      <c r="C171" s="1460">
        <v>1</v>
      </c>
      <c r="D171" s="1460">
        <v>2</v>
      </c>
      <c r="E171" s="1460">
        <v>3</v>
      </c>
      <c r="F171" s="1460">
        <v>4</v>
      </c>
      <c r="G171" s="1460">
        <v>5</v>
      </c>
      <c r="H171" s="1460">
        <v>6</v>
      </c>
      <c r="I171" s="1460">
        <v>7</v>
      </c>
      <c r="J171" s="1460">
        <v>8</v>
      </c>
      <c r="K171" s="1460">
        <v>9</v>
      </c>
      <c r="L171" s="1460">
        <v>10</v>
      </c>
      <c r="M171" s="1460">
        <v>11</v>
      </c>
      <c r="N171" s="1460">
        <v>12</v>
      </c>
      <c r="O171" s="1460">
        <v>13</v>
      </c>
      <c r="P171" s="1460">
        <v>14</v>
      </c>
      <c r="Q171" s="1460">
        <v>15</v>
      </c>
      <c r="R171" s="1460">
        <v>16</v>
      </c>
      <c r="S171" s="1460" t="s">
        <v>607</v>
      </c>
      <c r="T171" s="1391" t="s">
        <v>76</v>
      </c>
    </row>
    <row r="172" spans="1:21" x14ac:dyDescent="0.2">
      <c r="A172" s="1461" t="s">
        <v>110</v>
      </c>
      <c r="B172" s="1462">
        <f>S172</f>
        <v>12</v>
      </c>
      <c r="C172" s="1487">
        <f>ROUND(C143*1.008,0)</f>
        <v>2494</v>
      </c>
      <c r="D172" s="1487">
        <f t="shared" ref="D172:K172" si="50">ROUND(D143*1.008,0)</f>
        <v>2555</v>
      </c>
      <c r="E172" s="1487">
        <f t="shared" si="50"/>
        <v>2633</v>
      </c>
      <c r="F172" s="1487">
        <f t="shared" si="50"/>
        <v>2711</v>
      </c>
      <c r="G172" s="1487">
        <f t="shared" si="50"/>
        <v>2789</v>
      </c>
      <c r="H172" s="1487">
        <f t="shared" si="50"/>
        <v>2886</v>
      </c>
      <c r="I172" s="1487">
        <f t="shared" si="50"/>
        <v>2999</v>
      </c>
      <c r="J172" s="1487">
        <f t="shared" si="50"/>
        <v>3128</v>
      </c>
      <c r="K172" s="1487">
        <f t="shared" si="50"/>
        <v>3274</v>
      </c>
      <c r="L172" s="1487">
        <f>ROUND(L143*1.008,0)</f>
        <v>3435</v>
      </c>
      <c r="M172" s="1487">
        <f t="shared" ref="M172:N172" si="51">ROUND(M143*1.008,0)</f>
        <v>3616</v>
      </c>
      <c r="N172" s="1487">
        <f t="shared" si="51"/>
        <v>3814</v>
      </c>
      <c r="O172" s="1487"/>
      <c r="P172" s="1487"/>
      <c r="Q172" s="1487"/>
      <c r="R172" s="1487"/>
      <c r="S172" s="1488">
        <f t="shared" ref="S172:S196" si="52">COUNTA(C172:R172)</f>
        <v>12</v>
      </c>
      <c r="T172" s="1489" t="s">
        <v>110</v>
      </c>
      <c r="U172" s="1490">
        <f>+N172/$N$172</f>
        <v>1</v>
      </c>
    </row>
    <row r="173" spans="1:21" x14ac:dyDescent="0.2">
      <c r="A173" s="1467" t="s">
        <v>111</v>
      </c>
      <c r="B173" s="1468">
        <f t="shared" ref="B173:B196" si="53">S173</f>
        <v>12</v>
      </c>
      <c r="C173" s="1491">
        <f>ROUND(C144*1.008,0)</f>
        <v>2510</v>
      </c>
      <c r="D173" s="1491">
        <f t="shared" ref="D173:K173" si="54">ROUND(D144*1.008,0)</f>
        <v>2630</v>
      </c>
      <c r="E173" s="1491">
        <f t="shared" si="54"/>
        <v>2768</v>
      </c>
      <c r="F173" s="1491">
        <f t="shared" si="54"/>
        <v>2905</v>
      </c>
      <c r="G173" s="1491">
        <f t="shared" si="54"/>
        <v>3042</v>
      </c>
      <c r="H173" s="1491">
        <f t="shared" si="54"/>
        <v>3195</v>
      </c>
      <c r="I173" s="1491">
        <f t="shared" si="54"/>
        <v>3365</v>
      </c>
      <c r="J173" s="1491">
        <f t="shared" si="54"/>
        <v>3549</v>
      </c>
      <c r="K173" s="1491">
        <f t="shared" si="54"/>
        <v>3750</v>
      </c>
      <c r="L173" s="1491">
        <f>ROUND(L144*1.008,0)</f>
        <v>3967</v>
      </c>
      <c r="M173" s="1491">
        <f t="shared" ref="M173:N173" si="55">ROUND(M144*1.008,0)</f>
        <v>4199</v>
      </c>
      <c r="N173" s="1491">
        <f t="shared" si="55"/>
        <v>4448</v>
      </c>
      <c r="O173" s="1493"/>
      <c r="P173" s="1493"/>
      <c r="Q173" s="1493"/>
      <c r="R173" s="1493"/>
      <c r="S173" s="1492">
        <f t="shared" si="52"/>
        <v>12</v>
      </c>
      <c r="T173" s="1489" t="s">
        <v>111</v>
      </c>
      <c r="U173" s="1490">
        <f t="shared" ref="U173:U175" si="56">+N173/$N$172</f>
        <v>1.166229680125852</v>
      </c>
    </row>
    <row r="174" spans="1:21" x14ac:dyDescent="0.2">
      <c r="A174" s="1467" t="s">
        <v>112</v>
      </c>
      <c r="B174" s="1468">
        <f t="shared" si="53"/>
        <v>12</v>
      </c>
      <c r="C174" s="1491">
        <f t="shared" ref="C174:N196" si="57">ROUND(C145*1.008,0)</f>
        <v>2520</v>
      </c>
      <c r="D174" s="1491">
        <f t="shared" si="57"/>
        <v>2669</v>
      </c>
      <c r="E174" s="1491">
        <f t="shared" si="57"/>
        <v>2844</v>
      </c>
      <c r="F174" s="1491">
        <f t="shared" si="57"/>
        <v>3019</v>
      </c>
      <c r="G174" s="1491">
        <f t="shared" si="57"/>
        <v>3193</v>
      </c>
      <c r="H174" s="1491">
        <f t="shared" si="57"/>
        <v>3390</v>
      </c>
      <c r="I174" s="1491">
        <f t="shared" si="57"/>
        <v>3609</v>
      </c>
      <c r="J174" s="1491">
        <f t="shared" si="57"/>
        <v>3854</v>
      </c>
      <c r="K174" s="1491">
        <f t="shared" si="57"/>
        <v>4120</v>
      </c>
      <c r="L174" s="1491">
        <f t="shared" ref="L174:N174" si="58">ROUND(L145*1.008,0)</f>
        <v>4411</v>
      </c>
      <c r="M174" s="1491">
        <f t="shared" si="58"/>
        <v>4724</v>
      </c>
      <c r="N174" s="1491">
        <f t="shared" si="58"/>
        <v>5062</v>
      </c>
      <c r="O174" s="1493"/>
      <c r="P174" s="1493"/>
      <c r="Q174" s="1493"/>
      <c r="R174" s="1493"/>
      <c r="S174" s="1492">
        <f t="shared" si="52"/>
        <v>12</v>
      </c>
      <c r="T174" s="1489" t="s">
        <v>112</v>
      </c>
      <c r="U174" s="1490">
        <f t="shared" si="56"/>
        <v>1.3272155217619297</v>
      </c>
    </row>
    <row r="175" spans="1:21" x14ac:dyDescent="0.2">
      <c r="A175" s="1467" t="s">
        <v>113</v>
      </c>
      <c r="B175" s="1468">
        <f t="shared" si="53"/>
        <v>12</v>
      </c>
      <c r="C175" s="1491">
        <f t="shared" si="57"/>
        <v>3241</v>
      </c>
      <c r="D175" s="1491">
        <f t="shared" si="57"/>
        <v>3363</v>
      </c>
      <c r="E175" s="1491">
        <f t="shared" si="57"/>
        <v>3471</v>
      </c>
      <c r="F175" s="1491">
        <f t="shared" si="57"/>
        <v>3689</v>
      </c>
      <c r="G175" s="1491">
        <f t="shared" si="57"/>
        <v>3933</v>
      </c>
      <c r="H175" s="1491">
        <f t="shared" si="57"/>
        <v>4156</v>
      </c>
      <c r="I175" s="1491">
        <f t="shared" si="57"/>
        <v>4377</v>
      </c>
      <c r="J175" s="1491">
        <f t="shared" si="57"/>
        <v>4600</v>
      </c>
      <c r="K175" s="1491">
        <f t="shared" si="57"/>
        <v>4822</v>
      </c>
      <c r="L175" s="1491">
        <f t="shared" ref="L175:N175" si="59">ROUND(L146*1.008,0)</f>
        <v>5043</v>
      </c>
      <c r="M175" s="1491">
        <f t="shared" si="59"/>
        <v>5265</v>
      </c>
      <c r="N175" s="1491">
        <f t="shared" si="59"/>
        <v>5490</v>
      </c>
      <c r="O175" s="1493"/>
      <c r="P175" s="1493"/>
      <c r="Q175" s="1493"/>
      <c r="R175" s="1493"/>
      <c r="S175" s="1492">
        <f t="shared" si="52"/>
        <v>12</v>
      </c>
      <c r="T175" s="1489" t="s">
        <v>113</v>
      </c>
      <c r="U175" s="1490">
        <f t="shared" si="56"/>
        <v>1.4394336654431044</v>
      </c>
    </row>
    <row r="176" spans="1:21" x14ac:dyDescent="0.2">
      <c r="A176" s="1467">
        <v>1</v>
      </c>
      <c r="B176" s="1468">
        <f t="shared" si="53"/>
        <v>7</v>
      </c>
      <c r="C176" s="1491">
        <f t="shared" si="57"/>
        <v>1542</v>
      </c>
      <c r="D176" s="1491">
        <f t="shared" si="57"/>
        <v>1605</v>
      </c>
      <c r="E176" s="1491">
        <f t="shared" si="57"/>
        <v>1665</v>
      </c>
      <c r="F176" s="1491">
        <f t="shared" si="57"/>
        <v>1693</v>
      </c>
      <c r="G176" s="1491">
        <f t="shared" si="57"/>
        <v>1726</v>
      </c>
      <c r="H176" s="1491">
        <f t="shared" si="57"/>
        <v>1758</v>
      </c>
      <c r="I176" s="1491">
        <f t="shared" si="57"/>
        <v>1800</v>
      </c>
      <c r="J176" s="1493"/>
      <c r="K176" s="1493"/>
      <c r="L176" s="1493"/>
      <c r="M176" s="1493"/>
      <c r="N176" s="1493"/>
      <c r="O176" s="1493"/>
      <c r="P176" s="1493"/>
      <c r="Q176" s="1493"/>
      <c r="R176" s="1493"/>
      <c r="S176" s="1492">
        <f t="shared" si="52"/>
        <v>7</v>
      </c>
      <c r="T176" s="1489">
        <v>1</v>
      </c>
      <c r="U176" s="1490">
        <f>+I176/$N$172</f>
        <v>0.47194546407970633</v>
      </c>
    </row>
    <row r="177" spans="1:21" x14ac:dyDescent="0.2">
      <c r="A177" s="1467">
        <v>2</v>
      </c>
      <c r="B177" s="1468">
        <f t="shared" si="53"/>
        <v>8</v>
      </c>
      <c r="C177" s="1491">
        <f t="shared" si="57"/>
        <v>1577</v>
      </c>
      <c r="D177" s="1491">
        <f t="shared" si="57"/>
        <v>1636</v>
      </c>
      <c r="E177" s="1491">
        <f t="shared" si="57"/>
        <v>1693</v>
      </c>
      <c r="F177" s="1491">
        <f t="shared" si="57"/>
        <v>1758</v>
      </c>
      <c r="G177" s="1491">
        <f t="shared" si="57"/>
        <v>1800</v>
      </c>
      <c r="H177" s="1491">
        <f t="shared" si="57"/>
        <v>1851</v>
      </c>
      <c r="I177" s="1491">
        <f t="shared" si="57"/>
        <v>1910</v>
      </c>
      <c r="J177" s="1491">
        <f t="shared" si="57"/>
        <v>1967</v>
      </c>
      <c r="K177" s="1493"/>
      <c r="L177" s="1493"/>
      <c r="M177" s="1493"/>
      <c r="N177" s="1493"/>
      <c r="O177" s="1493"/>
      <c r="P177" s="1493"/>
      <c r="Q177" s="1493"/>
      <c r="R177" s="1493"/>
      <c r="S177" s="1492">
        <f t="shared" si="52"/>
        <v>8</v>
      </c>
      <c r="T177" s="1489">
        <v>2</v>
      </c>
      <c r="U177" s="1490">
        <f>+J177/$N$172</f>
        <v>0.5157315154693235</v>
      </c>
    </row>
    <row r="178" spans="1:21" x14ac:dyDescent="0.2">
      <c r="A178" s="1467">
        <v>3</v>
      </c>
      <c r="B178" s="1468">
        <f t="shared" si="53"/>
        <v>9</v>
      </c>
      <c r="C178" s="1491">
        <f t="shared" si="57"/>
        <v>1577</v>
      </c>
      <c r="D178" s="1491">
        <f t="shared" si="57"/>
        <v>1693</v>
      </c>
      <c r="E178" s="1491">
        <f t="shared" si="57"/>
        <v>1758</v>
      </c>
      <c r="F178" s="1491">
        <f t="shared" si="57"/>
        <v>1851</v>
      </c>
      <c r="G178" s="1491">
        <f t="shared" si="57"/>
        <v>1910</v>
      </c>
      <c r="H178" s="1491">
        <f t="shared" si="57"/>
        <v>1967</v>
      </c>
      <c r="I178" s="1491">
        <f t="shared" si="57"/>
        <v>2023</v>
      </c>
      <c r="J178" s="1491">
        <f t="shared" si="57"/>
        <v>2076</v>
      </c>
      <c r="K178" s="1491">
        <f t="shared" si="57"/>
        <v>2131</v>
      </c>
      <c r="L178" s="1493"/>
      <c r="M178" s="1493"/>
      <c r="N178" s="1493"/>
      <c r="O178" s="1493"/>
      <c r="P178" s="1493"/>
      <c r="Q178" s="1493"/>
      <c r="R178" s="1493"/>
      <c r="S178" s="1492">
        <f t="shared" si="52"/>
        <v>9</v>
      </c>
      <c r="T178" s="1489">
        <v>3</v>
      </c>
      <c r="U178" s="1490">
        <f>+K178/$N$172</f>
        <v>0.55873099108547453</v>
      </c>
    </row>
    <row r="179" spans="1:21" x14ac:dyDescent="0.2">
      <c r="A179" s="1467">
        <v>4</v>
      </c>
      <c r="B179" s="1468">
        <f t="shared" si="53"/>
        <v>11</v>
      </c>
      <c r="C179" s="1491">
        <f t="shared" si="57"/>
        <v>1605</v>
      </c>
      <c r="D179" s="1491">
        <f t="shared" si="57"/>
        <v>1665</v>
      </c>
      <c r="E179" s="1491">
        <f t="shared" si="57"/>
        <v>1726</v>
      </c>
      <c r="F179" s="1491">
        <f t="shared" si="57"/>
        <v>1800</v>
      </c>
      <c r="G179" s="1491">
        <f t="shared" si="57"/>
        <v>1910</v>
      </c>
      <c r="H179" s="1491">
        <f t="shared" si="57"/>
        <v>1967</v>
      </c>
      <c r="I179" s="1491">
        <f t="shared" si="57"/>
        <v>2023</v>
      </c>
      <c r="J179" s="1491">
        <f t="shared" si="57"/>
        <v>2076</v>
      </c>
      <c r="K179" s="1491">
        <f t="shared" si="57"/>
        <v>2131</v>
      </c>
      <c r="L179" s="1491">
        <f t="shared" si="57"/>
        <v>2183</v>
      </c>
      <c r="M179" s="1491">
        <f t="shared" si="57"/>
        <v>2235</v>
      </c>
      <c r="N179" s="1493"/>
      <c r="O179" s="1493"/>
      <c r="P179" s="1493"/>
      <c r="Q179" s="1493"/>
      <c r="R179" s="1493"/>
      <c r="S179" s="1492">
        <f t="shared" si="52"/>
        <v>11</v>
      </c>
      <c r="T179" s="1489">
        <v>4</v>
      </c>
      <c r="U179" s="1490">
        <f>+M179/$N$172</f>
        <v>0.58599895123230206</v>
      </c>
    </row>
    <row r="180" spans="1:21" x14ac:dyDescent="0.2">
      <c r="A180" s="1467">
        <v>5</v>
      </c>
      <c r="B180" s="1468">
        <f t="shared" si="53"/>
        <v>12</v>
      </c>
      <c r="C180" s="1491">
        <f t="shared" si="57"/>
        <v>1636</v>
      </c>
      <c r="D180" s="1491">
        <f t="shared" si="57"/>
        <v>1665</v>
      </c>
      <c r="E180" s="1491">
        <f t="shared" si="57"/>
        <v>1758</v>
      </c>
      <c r="F180" s="1491">
        <f t="shared" si="57"/>
        <v>1851</v>
      </c>
      <c r="G180" s="1491">
        <f t="shared" si="57"/>
        <v>1967</v>
      </c>
      <c r="H180" s="1491">
        <f t="shared" si="57"/>
        <v>2023</v>
      </c>
      <c r="I180" s="1491">
        <f t="shared" si="57"/>
        <v>2076</v>
      </c>
      <c r="J180" s="1491">
        <f t="shared" si="57"/>
        <v>2131</v>
      </c>
      <c r="K180" s="1491">
        <f t="shared" si="57"/>
        <v>2183</v>
      </c>
      <c r="L180" s="1491">
        <f t="shared" si="57"/>
        <v>2235</v>
      </c>
      <c r="M180" s="1491">
        <f t="shared" si="57"/>
        <v>2288</v>
      </c>
      <c r="N180" s="1491">
        <f t="shared" si="57"/>
        <v>2349</v>
      </c>
      <c r="O180" s="1493"/>
      <c r="P180" s="1493"/>
      <c r="Q180" s="1493"/>
      <c r="R180" s="1493"/>
      <c r="S180" s="1492">
        <f t="shared" si="52"/>
        <v>12</v>
      </c>
      <c r="T180" s="1489">
        <v>5</v>
      </c>
      <c r="U180" s="1490">
        <f>+N180/$N$172</f>
        <v>0.61588883062401678</v>
      </c>
    </row>
    <row r="181" spans="1:21" x14ac:dyDescent="0.2">
      <c r="A181" s="1467">
        <v>6</v>
      </c>
      <c r="B181" s="1468">
        <f t="shared" si="53"/>
        <v>11</v>
      </c>
      <c r="C181" s="1491">
        <f t="shared" si="57"/>
        <v>1693</v>
      </c>
      <c r="D181" s="1491">
        <f t="shared" si="57"/>
        <v>1758</v>
      </c>
      <c r="E181" s="1491">
        <f t="shared" si="57"/>
        <v>1967</v>
      </c>
      <c r="F181" s="1491">
        <f t="shared" si="57"/>
        <v>2076</v>
      </c>
      <c r="G181" s="1491">
        <f t="shared" si="57"/>
        <v>2131</v>
      </c>
      <c r="H181" s="1491">
        <f t="shared" si="57"/>
        <v>2183</v>
      </c>
      <c r="I181" s="1491">
        <f t="shared" si="57"/>
        <v>2235</v>
      </c>
      <c r="J181" s="1491">
        <f t="shared" si="57"/>
        <v>2288</v>
      </c>
      <c r="K181" s="1491">
        <f t="shared" ref="K181:M181" si="60">ROUND(K152*1.008,0)</f>
        <v>2349</v>
      </c>
      <c r="L181" s="1491">
        <f t="shared" si="60"/>
        <v>2406</v>
      </c>
      <c r="M181" s="1491">
        <f t="shared" si="60"/>
        <v>2461</v>
      </c>
      <c r="N181" s="1493"/>
      <c r="O181" s="1493"/>
      <c r="P181" s="1493"/>
      <c r="Q181" s="1493"/>
      <c r="R181" s="1493"/>
      <c r="S181" s="1492">
        <f t="shared" si="52"/>
        <v>11</v>
      </c>
      <c r="T181" s="1489">
        <v>6</v>
      </c>
      <c r="U181" s="1490">
        <f>+M181/$N$172</f>
        <v>0.64525432616675404</v>
      </c>
    </row>
    <row r="182" spans="1:21" x14ac:dyDescent="0.2">
      <c r="A182" s="1467">
        <v>7</v>
      </c>
      <c r="B182" s="1468">
        <f t="shared" si="53"/>
        <v>12</v>
      </c>
      <c r="C182" s="1491">
        <f t="shared" ref="C182:J182" si="61">ROUND(C153*1.008,0)</f>
        <v>1800</v>
      </c>
      <c r="D182" s="1491">
        <f t="shared" si="61"/>
        <v>1851</v>
      </c>
      <c r="E182" s="1491">
        <f t="shared" si="61"/>
        <v>1967</v>
      </c>
      <c r="F182" s="1491">
        <f t="shared" si="61"/>
        <v>2183</v>
      </c>
      <c r="G182" s="1491">
        <f t="shared" si="61"/>
        <v>2288</v>
      </c>
      <c r="H182" s="1491">
        <f t="shared" si="61"/>
        <v>2349</v>
      </c>
      <c r="I182" s="1491">
        <f t="shared" si="61"/>
        <v>2406</v>
      </c>
      <c r="J182" s="1491">
        <f t="shared" si="61"/>
        <v>2461</v>
      </c>
      <c r="K182" s="1491">
        <f t="shared" ref="K182:N182" si="62">ROUND(K153*1.008,0)</f>
        <v>2520</v>
      </c>
      <c r="L182" s="1491">
        <f t="shared" si="62"/>
        <v>2580</v>
      </c>
      <c r="M182" s="1491">
        <f t="shared" si="62"/>
        <v>2642</v>
      </c>
      <c r="N182" s="1491">
        <f t="shared" si="62"/>
        <v>2714</v>
      </c>
      <c r="O182" s="1493"/>
      <c r="P182" s="1493"/>
      <c r="Q182" s="1493"/>
      <c r="R182" s="1493"/>
      <c r="S182" s="1492">
        <f t="shared" si="52"/>
        <v>12</v>
      </c>
      <c r="T182" s="1489">
        <v>7</v>
      </c>
      <c r="U182" s="1490">
        <f>+N182/$N$172</f>
        <v>0.71158888306240164</v>
      </c>
    </row>
    <row r="183" spans="1:21" x14ac:dyDescent="0.2">
      <c r="A183" s="1467">
        <v>8</v>
      </c>
      <c r="B183" s="1468">
        <f t="shared" si="53"/>
        <v>13</v>
      </c>
      <c r="C183" s="1491">
        <f t="shared" ref="C183:J183" si="63">ROUND(C154*1.008,0)</f>
        <v>2023</v>
      </c>
      <c r="D183" s="1491">
        <f t="shared" si="63"/>
        <v>2076</v>
      </c>
      <c r="E183" s="1491">
        <f t="shared" si="63"/>
        <v>2183</v>
      </c>
      <c r="F183" s="1491">
        <f t="shared" si="63"/>
        <v>2406</v>
      </c>
      <c r="G183" s="1491">
        <f t="shared" si="63"/>
        <v>2520</v>
      </c>
      <c r="H183" s="1491">
        <f t="shared" si="63"/>
        <v>2642</v>
      </c>
      <c r="I183" s="1491">
        <f t="shared" si="63"/>
        <v>2714</v>
      </c>
      <c r="J183" s="1491">
        <f t="shared" si="63"/>
        <v>2778</v>
      </c>
      <c r="K183" s="1491">
        <f t="shared" ref="K183:O183" si="64">ROUND(K154*1.008,0)</f>
        <v>2834</v>
      </c>
      <c r="L183" s="1491">
        <f t="shared" si="64"/>
        <v>2897</v>
      </c>
      <c r="M183" s="1491">
        <f t="shared" si="64"/>
        <v>2958</v>
      </c>
      <c r="N183" s="1491">
        <f t="shared" si="64"/>
        <v>3015</v>
      </c>
      <c r="O183" s="1491">
        <f t="shared" si="64"/>
        <v>3069</v>
      </c>
      <c r="P183" s="1493"/>
      <c r="Q183" s="1493"/>
      <c r="R183" s="1493"/>
      <c r="S183" s="1492">
        <f t="shared" si="52"/>
        <v>13</v>
      </c>
      <c r="T183" s="1489">
        <v>8</v>
      </c>
      <c r="U183" s="1490">
        <f>+O183/$N$172</f>
        <v>0.80466701625589931</v>
      </c>
    </row>
    <row r="184" spans="1:21" x14ac:dyDescent="0.2">
      <c r="A184" s="1467">
        <v>9</v>
      </c>
      <c r="B184" s="1468">
        <f t="shared" si="53"/>
        <v>9</v>
      </c>
      <c r="C184" s="1491">
        <f t="shared" ref="C184:K184" si="65">ROUND(C155*1.008,0)</f>
        <v>2288</v>
      </c>
      <c r="D184" s="1491">
        <f t="shared" si="65"/>
        <v>2406</v>
      </c>
      <c r="E184" s="1491">
        <f t="shared" si="65"/>
        <v>2642</v>
      </c>
      <c r="F184" s="1491">
        <f t="shared" si="65"/>
        <v>2778</v>
      </c>
      <c r="G184" s="1491">
        <f t="shared" si="65"/>
        <v>2897</v>
      </c>
      <c r="H184" s="1491">
        <f t="shared" si="65"/>
        <v>3015</v>
      </c>
      <c r="I184" s="1491">
        <f t="shared" si="65"/>
        <v>3129</v>
      </c>
      <c r="J184" s="1491">
        <f t="shared" si="65"/>
        <v>3241</v>
      </c>
      <c r="K184" s="1491">
        <f t="shared" si="65"/>
        <v>3363</v>
      </c>
      <c r="L184" s="1493"/>
      <c r="M184" s="1493"/>
      <c r="N184" s="1493"/>
      <c r="O184" s="1493"/>
      <c r="P184" s="1493"/>
      <c r="Q184" s="1493"/>
      <c r="R184" s="1493"/>
      <c r="S184" s="1492">
        <f t="shared" si="52"/>
        <v>9</v>
      </c>
      <c r="T184" s="1489">
        <v>9</v>
      </c>
      <c r="U184" s="1490">
        <f>+K184/$N$172</f>
        <v>0.88175144205558464</v>
      </c>
    </row>
    <row r="185" spans="1:21" x14ac:dyDescent="0.2">
      <c r="A185" s="1467">
        <v>10</v>
      </c>
      <c r="B185" s="1468">
        <f t="shared" si="53"/>
        <v>13</v>
      </c>
      <c r="C185" s="1491">
        <f t="shared" ref="C185:J185" si="66">ROUND(C156*1.008,0)</f>
        <v>2288</v>
      </c>
      <c r="D185" s="1491">
        <f t="shared" si="66"/>
        <v>2520</v>
      </c>
      <c r="E185" s="1491">
        <f t="shared" si="66"/>
        <v>2642</v>
      </c>
      <c r="F185" s="1491">
        <f t="shared" si="66"/>
        <v>2778</v>
      </c>
      <c r="G185" s="1491">
        <f t="shared" si="66"/>
        <v>2897</v>
      </c>
      <c r="H185" s="1491">
        <f t="shared" si="66"/>
        <v>3015</v>
      </c>
      <c r="I185" s="1491">
        <f t="shared" si="66"/>
        <v>3129</v>
      </c>
      <c r="J185" s="1491">
        <f t="shared" si="66"/>
        <v>3241</v>
      </c>
      <c r="K185" s="1491">
        <f t="shared" ref="K185:O185" si="67">ROUND(K156*1.008,0)</f>
        <v>3363</v>
      </c>
      <c r="L185" s="1491">
        <f t="shared" si="67"/>
        <v>3471</v>
      </c>
      <c r="M185" s="1491">
        <f t="shared" si="67"/>
        <v>3581</v>
      </c>
      <c r="N185" s="1491">
        <f t="shared" si="67"/>
        <v>3689</v>
      </c>
      <c r="O185" s="1491">
        <f t="shared" si="67"/>
        <v>3814</v>
      </c>
      <c r="P185" s="1493"/>
      <c r="Q185" s="1493"/>
      <c r="R185" s="1493"/>
      <c r="S185" s="1492">
        <f t="shared" si="52"/>
        <v>13</v>
      </c>
      <c r="T185" s="1489">
        <v>10</v>
      </c>
      <c r="U185" s="1490">
        <f>+O185/$N$172</f>
        <v>1</v>
      </c>
    </row>
    <row r="186" spans="1:21" x14ac:dyDescent="0.2">
      <c r="A186" s="1467">
        <v>11</v>
      </c>
      <c r="B186" s="1468">
        <f t="shared" si="53"/>
        <v>16</v>
      </c>
      <c r="C186" s="1491">
        <f t="shared" ref="C186:J186" si="68">ROUND(C157*1.008,0)</f>
        <v>2406</v>
      </c>
      <c r="D186" s="1491">
        <f t="shared" si="68"/>
        <v>2520</v>
      </c>
      <c r="E186" s="1491">
        <f t="shared" si="68"/>
        <v>2642</v>
      </c>
      <c r="F186" s="1491">
        <f t="shared" si="68"/>
        <v>2778</v>
      </c>
      <c r="G186" s="1491">
        <f t="shared" si="68"/>
        <v>2905</v>
      </c>
      <c r="H186" s="1491">
        <f t="shared" si="68"/>
        <v>3032</v>
      </c>
      <c r="I186" s="1491">
        <f t="shared" si="68"/>
        <v>3159</v>
      </c>
      <c r="J186" s="1491">
        <f t="shared" si="68"/>
        <v>3363</v>
      </c>
      <c r="K186" s="1491">
        <f t="shared" ref="K186:O186" si="69">ROUND(K157*1.008,0)</f>
        <v>3498</v>
      </c>
      <c r="L186" s="1491">
        <f t="shared" si="69"/>
        <v>3634</v>
      </c>
      <c r="M186" s="1491">
        <f t="shared" si="69"/>
        <v>3769</v>
      </c>
      <c r="N186" s="1491">
        <f t="shared" si="69"/>
        <v>3906</v>
      </c>
      <c r="O186" s="1491">
        <f t="shared" si="69"/>
        <v>4042</v>
      </c>
      <c r="P186" s="1491">
        <f t="shared" ref="P186:R186" si="70">ROUND(P157*1.008,0)</f>
        <v>4177</v>
      </c>
      <c r="Q186" s="1491">
        <f t="shared" si="70"/>
        <v>4314</v>
      </c>
      <c r="R186" s="1491">
        <f t="shared" si="70"/>
        <v>4448</v>
      </c>
      <c r="S186" s="1492">
        <f t="shared" si="52"/>
        <v>16</v>
      </c>
      <c r="T186" s="1489">
        <v>11</v>
      </c>
      <c r="U186" s="1490">
        <f>+R186/$N$172</f>
        <v>1.166229680125852</v>
      </c>
    </row>
    <row r="187" spans="1:21" x14ac:dyDescent="0.2">
      <c r="A187" s="1467">
        <v>12</v>
      </c>
      <c r="B187" s="1468">
        <f t="shared" si="53"/>
        <v>16</v>
      </c>
      <c r="C187" s="1491">
        <f t="shared" ref="C187:J187" si="71">ROUND(C158*1.008,0)</f>
        <v>3241</v>
      </c>
      <c r="D187" s="1491">
        <f t="shared" si="71"/>
        <v>3363</v>
      </c>
      <c r="E187" s="1491">
        <f t="shared" si="71"/>
        <v>3471</v>
      </c>
      <c r="F187" s="1491">
        <f t="shared" si="71"/>
        <v>3581</v>
      </c>
      <c r="G187" s="1491">
        <f t="shared" si="71"/>
        <v>3689</v>
      </c>
      <c r="H187" s="1491">
        <f t="shared" si="71"/>
        <v>3814</v>
      </c>
      <c r="I187" s="1491">
        <f t="shared" si="71"/>
        <v>4053</v>
      </c>
      <c r="J187" s="1491">
        <f t="shared" si="71"/>
        <v>4165</v>
      </c>
      <c r="K187" s="1491">
        <f t="shared" ref="K187:O187" si="72">ROUND(K158*1.008,0)</f>
        <v>4280</v>
      </c>
      <c r="L187" s="1491">
        <f t="shared" si="72"/>
        <v>4391</v>
      </c>
      <c r="M187" s="1491">
        <f t="shared" si="72"/>
        <v>4508</v>
      </c>
      <c r="N187" s="1491">
        <f t="shared" si="72"/>
        <v>4622</v>
      </c>
      <c r="O187" s="1491">
        <f t="shared" si="72"/>
        <v>4734</v>
      </c>
      <c r="P187" s="1491">
        <f t="shared" ref="P187:R187" si="73">ROUND(P158*1.008,0)</f>
        <v>4846</v>
      </c>
      <c r="Q187" s="1491">
        <f t="shared" si="73"/>
        <v>4990</v>
      </c>
      <c r="R187" s="1491">
        <f t="shared" si="73"/>
        <v>5062</v>
      </c>
      <c r="S187" s="1492">
        <f t="shared" si="52"/>
        <v>16</v>
      </c>
      <c r="T187" s="1489">
        <v>12</v>
      </c>
      <c r="U187" s="1490">
        <f>+R187/$N$172</f>
        <v>1.3272155217619297</v>
      </c>
    </row>
    <row r="188" spans="1:21" x14ac:dyDescent="0.2">
      <c r="A188" s="1467">
        <v>13</v>
      </c>
      <c r="B188" s="1468">
        <f t="shared" si="53"/>
        <v>13</v>
      </c>
      <c r="C188" s="1491">
        <f t="shared" ref="C188:J188" si="74">ROUND(C159*1.008,0)</f>
        <v>3933</v>
      </c>
      <c r="D188" s="1491">
        <f t="shared" si="74"/>
        <v>4053</v>
      </c>
      <c r="E188" s="1491">
        <f t="shared" si="74"/>
        <v>4165</v>
      </c>
      <c r="F188" s="1491">
        <f t="shared" si="74"/>
        <v>4280</v>
      </c>
      <c r="G188" s="1491">
        <f t="shared" si="74"/>
        <v>4391</v>
      </c>
      <c r="H188" s="1491">
        <f t="shared" si="74"/>
        <v>4622</v>
      </c>
      <c r="I188" s="1491">
        <f t="shared" si="74"/>
        <v>4734</v>
      </c>
      <c r="J188" s="1491">
        <f t="shared" si="74"/>
        <v>4846</v>
      </c>
      <c r="K188" s="1491">
        <f t="shared" ref="K188:O188" si="75">ROUND(K159*1.008,0)</f>
        <v>4990</v>
      </c>
      <c r="L188" s="1491">
        <f t="shared" si="75"/>
        <v>5133</v>
      </c>
      <c r="M188" s="1491">
        <f t="shared" si="75"/>
        <v>5276</v>
      </c>
      <c r="N188" s="1491">
        <f t="shared" si="75"/>
        <v>5420</v>
      </c>
      <c r="O188" s="1491">
        <f t="shared" si="75"/>
        <v>5490</v>
      </c>
      <c r="P188" s="1493"/>
      <c r="Q188" s="1493"/>
      <c r="R188" s="1493"/>
      <c r="S188" s="1492">
        <f t="shared" si="52"/>
        <v>13</v>
      </c>
      <c r="T188" s="1489">
        <v>13</v>
      </c>
      <c r="U188" s="1490">
        <f>+O188/$N$172</f>
        <v>1.4394336654431044</v>
      </c>
    </row>
    <row r="189" spans="1:21" x14ac:dyDescent="0.2">
      <c r="A189" s="1467">
        <v>14</v>
      </c>
      <c r="B189" s="1468">
        <f t="shared" si="53"/>
        <v>11</v>
      </c>
      <c r="C189" s="1491">
        <f t="shared" ref="C189:J189" si="76">ROUND(C160*1.008,0)</f>
        <v>4508</v>
      </c>
      <c r="D189" s="1491">
        <f t="shared" si="76"/>
        <v>4622</v>
      </c>
      <c r="E189" s="1491">
        <f t="shared" si="76"/>
        <v>4846</v>
      </c>
      <c r="F189" s="1491">
        <f t="shared" si="76"/>
        <v>4990</v>
      </c>
      <c r="G189" s="1491">
        <f t="shared" si="76"/>
        <v>5133</v>
      </c>
      <c r="H189" s="1491">
        <f t="shared" si="76"/>
        <v>5276</v>
      </c>
      <c r="I189" s="1491">
        <f t="shared" si="76"/>
        <v>5420</v>
      </c>
      <c r="J189" s="1491">
        <f t="shared" si="76"/>
        <v>5564</v>
      </c>
      <c r="K189" s="1491">
        <f t="shared" ref="K189:M189" si="77">ROUND(K160*1.008,0)</f>
        <v>5715</v>
      </c>
      <c r="L189" s="1491">
        <f t="shared" si="77"/>
        <v>5872</v>
      </c>
      <c r="M189" s="1491">
        <f t="shared" si="77"/>
        <v>6032</v>
      </c>
      <c r="N189" s="1493"/>
      <c r="O189" s="1493"/>
      <c r="P189" s="1493"/>
      <c r="Q189" s="1493"/>
      <c r="R189" s="1493"/>
      <c r="S189" s="1492">
        <f t="shared" si="52"/>
        <v>11</v>
      </c>
      <c r="T189" s="1489">
        <v>14</v>
      </c>
      <c r="U189" s="1490">
        <f>+M189/$N$172</f>
        <v>1.5815416885159936</v>
      </c>
    </row>
    <row r="190" spans="1:21" x14ac:dyDescent="0.2">
      <c r="A190" s="1467">
        <v>15</v>
      </c>
      <c r="B190" s="1468">
        <f t="shared" si="53"/>
        <v>12</v>
      </c>
      <c r="C190" s="1491">
        <f t="shared" ref="C190:J190" si="78">ROUND(C161*1.008,0)</f>
        <v>4734</v>
      </c>
      <c r="D190" s="1491">
        <f t="shared" si="78"/>
        <v>4846</v>
      </c>
      <c r="E190" s="1491">
        <f t="shared" si="78"/>
        <v>4990</v>
      </c>
      <c r="F190" s="1491">
        <f t="shared" si="78"/>
        <v>5276</v>
      </c>
      <c r="G190" s="1491">
        <f t="shared" si="78"/>
        <v>5420</v>
      </c>
      <c r="H190" s="1491">
        <f t="shared" si="78"/>
        <v>5564</v>
      </c>
      <c r="I190" s="1491">
        <f t="shared" si="78"/>
        <v>5715</v>
      </c>
      <c r="J190" s="1491">
        <f t="shared" si="78"/>
        <v>5872</v>
      </c>
      <c r="K190" s="1491">
        <f t="shared" ref="K190:M190" si="79">ROUND(K161*1.008,0)</f>
        <v>6032</v>
      </c>
      <c r="L190" s="1491">
        <f t="shared" si="79"/>
        <v>6223</v>
      </c>
      <c r="M190" s="1491">
        <f t="shared" si="79"/>
        <v>6423</v>
      </c>
      <c r="N190" s="1491">
        <f t="shared" ref="N190" si="80">ROUND(N161*1.008,0)</f>
        <v>6626</v>
      </c>
      <c r="O190" s="1493"/>
      <c r="P190" s="1493"/>
      <c r="Q190" s="1493"/>
      <c r="R190" s="1493"/>
      <c r="S190" s="1492">
        <f t="shared" si="52"/>
        <v>12</v>
      </c>
      <c r="T190" s="1489">
        <v>15</v>
      </c>
      <c r="U190" s="1490">
        <f>+N190/$N$172</f>
        <v>1.7372836916622969</v>
      </c>
    </row>
    <row r="191" spans="1:21" x14ac:dyDescent="0.2">
      <c r="A191" s="1467">
        <v>16</v>
      </c>
      <c r="B191" s="1468">
        <f t="shared" si="53"/>
        <v>12</v>
      </c>
      <c r="C191" s="1491">
        <f t="shared" ref="C191:J191" si="81">ROUND(C162*1.008,0)</f>
        <v>5133</v>
      </c>
      <c r="D191" s="1491">
        <f t="shared" si="81"/>
        <v>5276</v>
      </c>
      <c r="E191" s="1491">
        <f t="shared" si="81"/>
        <v>5420</v>
      </c>
      <c r="F191" s="1491">
        <f t="shared" si="81"/>
        <v>5715</v>
      </c>
      <c r="G191" s="1491">
        <f t="shared" si="81"/>
        <v>5872</v>
      </c>
      <c r="H191" s="1491">
        <f t="shared" si="81"/>
        <v>6032</v>
      </c>
      <c r="I191" s="1491">
        <f t="shared" si="81"/>
        <v>6223</v>
      </c>
      <c r="J191" s="1491">
        <f t="shared" si="81"/>
        <v>6423</v>
      </c>
      <c r="K191" s="1491">
        <f t="shared" ref="K191:M191" si="82">ROUND(K162*1.008,0)</f>
        <v>6626</v>
      </c>
      <c r="L191" s="1491">
        <f t="shared" si="82"/>
        <v>6838</v>
      </c>
      <c r="M191" s="1491">
        <f t="shared" si="82"/>
        <v>7055</v>
      </c>
      <c r="N191" s="1491">
        <f t="shared" ref="N191" si="83">ROUND(N162*1.008,0)</f>
        <v>7281</v>
      </c>
      <c r="O191" s="1493"/>
      <c r="P191" s="1493"/>
      <c r="Q191" s="1493"/>
      <c r="R191" s="1493"/>
      <c r="S191" s="1492">
        <f t="shared" si="52"/>
        <v>12</v>
      </c>
      <c r="T191" s="1489">
        <v>16</v>
      </c>
      <c r="U191" s="1490">
        <f>+N191/$N$172</f>
        <v>1.9090194022024121</v>
      </c>
    </row>
    <row r="192" spans="1:21" x14ac:dyDescent="0.2">
      <c r="A192" s="1467">
        <v>17</v>
      </c>
      <c r="B192" s="1468">
        <f t="shared" si="53"/>
        <v>12</v>
      </c>
      <c r="C192" s="1491">
        <f t="shared" ref="C192:J193" si="84">ROUND(C163*1.008,0)</f>
        <v>5564</v>
      </c>
      <c r="D192" s="1491">
        <f t="shared" si="84"/>
        <v>5715</v>
      </c>
      <c r="E192" s="1491">
        <f t="shared" si="84"/>
        <v>5872</v>
      </c>
      <c r="F192" s="1491">
        <f t="shared" si="84"/>
        <v>6223</v>
      </c>
      <c r="G192" s="1491">
        <f t="shared" si="84"/>
        <v>6423</v>
      </c>
      <c r="H192" s="1491">
        <f t="shared" si="84"/>
        <v>6626</v>
      </c>
      <c r="I192" s="1491">
        <f t="shared" si="84"/>
        <v>6838</v>
      </c>
      <c r="J192" s="1491">
        <f t="shared" si="84"/>
        <v>7055</v>
      </c>
      <c r="K192" s="1491">
        <f t="shared" ref="K192:M192" si="85">ROUND(K163*1.008,0)</f>
        <v>7281</v>
      </c>
      <c r="L192" s="1491">
        <f t="shared" si="85"/>
        <v>7514</v>
      </c>
      <c r="M192" s="1491">
        <f t="shared" si="85"/>
        <v>7753</v>
      </c>
      <c r="N192" s="1491">
        <f t="shared" ref="N192" si="86">ROUND(N163*1.008,0)</f>
        <v>7999</v>
      </c>
      <c r="O192" s="1493"/>
      <c r="P192" s="1493"/>
      <c r="Q192" s="1493"/>
      <c r="R192" s="1493"/>
      <c r="S192" s="1492">
        <f t="shared" si="52"/>
        <v>12</v>
      </c>
      <c r="T192" s="1489">
        <v>17</v>
      </c>
      <c r="U192" s="1490">
        <f>+N192/$N$172</f>
        <v>2.0972732039853175</v>
      </c>
    </row>
    <row r="193" spans="1:21" x14ac:dyDescent="0.2">
      <c r="A193" s="1467" t="s">
        <v>142</v>
      </c>
      <c r="B193" s="1468">
        <f t="shared" si="53"/>
        <v>9</v>
      </c>
      <c r="C193" s="1494">
        <v>1507.8</v>
      </c>
      <c r="D193" s="1494">
        <f>(C176+C193)/2</f>
        <v>1524.9</v>
      </c>
      <c r="E193" s="1491">
        <f t="shared" si="84"/>
        <v>1542</v>
      </c>
      <c r="F193" s="1491">
        <f t="shared" si="84"/>
        <v>1605</v>
      </c>
      <c r="G193" s="1491">
        <f t="shared" ref="G193:K193" si="87">ROUND(G164*1.008,0)</f>
        <v>1665</v>
      </c>
      <c r="H193" s="1491">
        <f t="shared" si="87"/>
        <v>1693</v>
      </c>
      <c r="I193" s="1491">
        <f t="shared" si="87"/>
        <v>1726</v>
      </c>
      <c r="J193" s="1491">
        <f t="shared" si="87"/>
        <v>1758</v>
      </c>
      <c r="K193" s="1491">
        <f t="shared" si="87"/>
        <v>1800</v>
      </c>
      <c r="L193" s="1493"/>
      <c r="M193" s="1493"/>
      <c r="N193" s="1493"/>
      <c r="O193" s="1493"/>
      <c r="P193" s="1493"/>
      <c r="Q193" s="1493"/>
      <c r="R193" s="1493"/>
      <c r="S193" s="1492">
        <f t="shared" si="52"/>
        <v>9</v>
      </c>
      <c r="T193" s="1489" t="s">
        <v>142</v>
      </c>
      <c r="U193" s="1490">
        <f>+K193/$N$172</f>
        <v>0.47194546407970633</v>
      </c>
    </row>
    <row r="194" spans="1:21" x14ac:dyDescent="0.2">
      <c r="A194" s="1467" t="s">
        <v>143</v>
      </c>
      <c r="B194" s="1468">
        <f t="shared" si="53"/>
        <v>8</v>
      </c>
      <c r="C194" s="1491">
        <f t="shared" si="57"/>
        <v>1577</v>
      </c>
      <c r="D194" s="1491">
        <f t="shared" ref="D194:F194" si="88">ROUND(D165*1.008,0)</f>
        <v>1636</v>
      </c>
      <c r="E194" s="1491">
        <f t="shared" si="88"/>
        <v>1693</v>
      </c>
      <c r="F194" s="1491">
        <f t="shared" si="88"/>
        <v>1758</v>
      </c>
      <c r="G194" s="1491">
        <f t="shared" ref="G194:J194" si="89">ROUND(G165*1.008,0)</f>
        <v>1800</v>
      </c>
      <c r="H194" s="1491">
        <f t="shared" si="89"/>
        <v>1851</v>
      </c>
      <c r="I194" s="1491">
        <f t="shared" si="89"/>
        <v>1910</v>
      </c>
      <c r="J194" s="1491">
        <f t="shared" si="89"/>
        <v>1967</v>
      </c>
      <c r="K194" s="1493"/>
      <c r="L194" s="1493"/>
      <c r="M194" s="1493"/>
      <c r="N194" s="1493"/>
      <c r="O194" s="1493"/>
      <c r="P194" s="1493"/>
      <c r="Q194" s="1493"/>
      <c r="R194" s="1493"/>
      <c r="S194" s="1492">
        <f t="shared" si="52"/>
        <v>8</v>
      </c>
      <c r="T194" s="1489" t="s">
        <v>143</v>
      </c>
      <c r="U194" s="1490">
        <f>+J194/$N$172</f>
        <v>0.5157315154693235</v>
      </c>
    </row>
    <row r="195" spans="1:21" x14ac:dyDescent="0.2">
      <c r="A195" s="1467" t="s">
        <v>144</v>
      </c>
      <c r="B195" s="1468">
        <f t="shared" si="53"/>
        <v>9</v>
      </c>
      <c r="C195" s="1491">
        <f t="shared" si="57"/>
        <v>1577</v>
      </c>
      <c r="D195" s="1491">
        <f t="shared" ref="D195:F195" si="90">ROUND(D166*1.008,0)</f>
        <v>1693</v>
      </c>
      <c r="E195" s="1491">
        <f t="shared" si="90"/>
        <v>1758</v>
      </c>
      <c r="F195" s="1491">
        <f t="shared" si="90"/>
        <v>1851</v>
      </c>
      <c r="G195" s="1491">
        <f t="shared" ref="G195:K195" si="91">ROUND(G166*1.008,0)</f>
        <v>1910</v>
      </c>
      <c r="H195" s="1491">
        <f t="shared" si="91"/>
        <v>1967</v>
      </c>
      <c r="I195" s="1491">
        <f t="shared" si="91"/>
        <v>2023</v>
      </c>
      <c r="J195" s="1491">
        <f t="shared" si="91"/>
        <v>2076</v>
      </c>
      <c r="K195" s="1491">
        <f t="shared" si="91"/>
        <v>2131</v>
      </c>
      <c r="L195" s="1491"/>
      <c r="M195" s="1493"/>
      <c r="N195" s="1493"/>
      <c r="O195" s="1493"/>
      <c r="P195" s="1493"/>
      <c r="Q195" s="1493"/>
      <c r="R195" s="1493"/>
      <c r="S195" s="1492">
        <f t="shared" si="52"/>
        <v>9</v>
      </c>
      <c r="T195" s="1489" t="s">
        <v>144</v>
      </c>
      <c r="U195" s="1490">
        <f>+I195/$N$172</f>
        <v>0.53041426324069219</v>
      </c>
    </row>
    <row r="196" spans="1:21" x14ac:dyDescent="0.2">
      <c r="A196" s="1476" t="s">
        <v>419</v>
      </c>
      <c r="B196" s="1477">
        <f t="shared" si="53"/>
        <v>1</v>
      </c>
      <c r="C196" s="1675">
        <f t="shared" si="57"/>
        <v>1247</v>
      </c>
      <c r="D196" s="1495"/>
      <c r="E196" s="1495"/>
      <c r="F196" s="1495"/>
      <c r="G196" s="1495"/>
      <c r="H196" s="1495"/>
      <c r="I196" s="1495"/>
      <c r="J196" s="1495"/>
      <c r="K196" s="1495"/>
      <c r="L196" s="1495"/>
      <c r="M196" s="1495"/>
      <c r="N196" s="1495"/>
      <c r="O196" s="1495"/>
      <c r="P196" s="1495"/>
      <c r="Q196" s="1495"/>
      <c r="R196" s="1495"/>
      <c r="S196" s="1496">
        <f t="shared" si="52"/>
        <v>1</v>
      </c>
      <c r="T196" s="1489" t="s">
        <v>419</v>
      </c>
      <c r="U196" s="1490">
        <f>+C196/$N$172</f>
        <v>0.32695332983744102</v>
      </c>
    </row>
    <row r="199" spans="1:21" x14ac:dyDescent="0.2">
      <c r="A199" s="1456" t="s">
        <v>418</v>
      </c>
      <c r="B199" s="1457"/>
      <c r="C199" s="1482">
        <v>42248</v>
      </c>
      <c r="D199" s="1458" t="s">
        <v>979</v>
      </c>
      <c r="E199" s="1483"/>
      <c r="F199" s="1484"/>
      <c r="G199" s="1483"/>
      <c r="H199" s="898"/>
      <c r="I199" s="898"/>
      <c r="J199" s="898"/>
      <c r="K199" s="1483"/>
      <c r="L199" s="1483"/>
      <c r="M199" s="1483"/>
      <c r="N199" s="1483"/>
      <c r="O199" s="1483"/>
      <c r="P199" s="1485"/>
      <c r="Q199" s="1485"/>
      <c r="R199" s="1485"/>
      <c r="S199" s="1485"/>
      <c r="T199" s="1391" t="s">
        <v>75</v>
      </c>
      <c r="U199" s="1486"/>
    </row>
    <row r="200" spans="1:21" x14ac:dyDescent="0.2">
      <c r="A200" s="1426" t="s">
        <v>606</v>
      </c>
      <c r="B200" s="1459"/>
      <c r="C200" s="1460">
        <v>1</v>
      </c>
      <c r="D200" s="1460">
        <v>2</v>
      </c>
      <c r="E200" s="1460">
        <v>3</v>
      </c>
      <c r="F200" s="1460">
        <v>4</v>
      </c>
      <c r="G200" s="1460">
        <v>5</v>
      </c>
      <c r="H200" s="1460">
        <v>6</v>
      </c>
      <c r="I200" s="1460">
        <v>7</v>
      </c>
      <c r="J200" s="1460">
        <v>8</v>
      </c>
      <c r="K200" s="1460">
        <v>9</v>
      </c>
      <c r="L200" s="1460">
        <v>10</v>
      </c>
      <c r="M200" s="1460">
        <v>11</v>
      </c>
      <c r="N200" s="1460">
        <v>12</v>
      </c>
      <c r="O200" s="1460">
        <v>13</v>
      </c>
      <c r="P200" s="1460">
        <v>14</v>
      </c>
      <c r="Q200" s="1460">
        <v>15</v>
      </c>
      <c r="R200" s="1460">
        <v>16</v>
      </c>
      <c r="S200" s="1460" t="s">
        <v>607</v>
      </c>
      <c r="T200" s="1391" t="s">
        <v>76</v>
      </c>
    </row>
    <row r="201" spans="1:21" x14ac:dyDescent="0.2">
      <c r="A201" s="1461" t="s">
        <v>110</v>
      </c>
      <c r="B201" s="1462">
        <f>S201</f>
        <v>12</v>
      </c>
      <c r="C201" s="1487">
        <f>ROUND(C172*1.0125,0)</f>
        <v>2525</v>
      </c>
      <c r="D201" s="1487">
        <f t="shared" ref="D201:I201" si="92">ROUND(D172*1.0125,0)</f>
        <v>2587</v>
      </c>
      <c r="E201" s="1487">
        <f t="shared" si="92"/>
        <v>2666</v>
      </c>
      <c r="F201" s="1487">
        <f t="shared" si="92"/>
        <v>2745</v>
      </c>
      <c r="G201" s="1487">
        <f t="shared" si="92"/>
        <v>2824</v>
      </c>
      <c r="H201" s="1487">
        <f t="shared" si="92"/>
        <v>2922</v>
      </c>
      <c r="I201" s="1487">
        <f t="shared" si="92"/>
        <v>3036</v>
      </c>
      <c r="J201" s="1487">
        <f t="shared" ref="J201:N201" si="93">ROUND(J172*1.0125,0)</f>
        <v>3167</v>
      </c>
      <c r="K201" s="1487">
        <f t="shared" si="93"/>
        <v>3315</v>
      </c>
      <c r="L201" s="1487">
        <f t="shared" si="93"/>
        <v>3478</v>
      </c>
      <c r="M201" s="1487">
        <f t="shared" si="93"/>
        <v>3661</v>
      </c>
      <c r="N201" s="1487">
        <f t="shared" si="93"/>
        <v>3862</v>
      </c>
      <c r="O201" s="1487"/>
      <c r="P201" s="1487"/>
      <c r="Q201" s="1487"/>
      <c r="R201" s="1487"/>
      <c r="S201" s="1488">
        <f t="shared" ref="S201:S225" si="94">COUNTA(C201:R201)</f>
        <v>12</v>
      </c>
      <c r="T201" s="1489" t="s">
        <v>110</v>
      </c>
      <c r="U201" s="1490">
        <f>+N201/$N$172</f>
        <v>1.0125852123754588</v>
      </c>
    </row>
    <row r="202" spans="1:21" x14ac:dyDescent="0.2">
      <c r="A202" s="1467" t="s">
        <v>111</v>
      </c>
      <c r="B202" s="1468">
        <f t="shared" ref="B202:B225" si="95">S202</f>
        <v>12</v>
      </c>
      <c r="C202" s="1491">
        <f>ROUND(C173*1.0125,0)</f>
        <v>2541</v>
      </c>
      <c r="D202" s="1491">
        <f t="shared" ref="D202:I202" si="96">ROUND(D173*1.0125,0)</f>
        <v>2663</v>
      </c>
      <c r="E202" s="1491">
        <f t="shared" si="96"/>
        <v>2803</v>
      </c>
      <c r="F202" s="1491">
        <f t="shared" si="96"/>
        <v>2941</v>
      </c>
      <c r="G202" s="1491">
        <f t="shared" si="96"/>
        <v>3080</v>
      </c>
      <c r="H202" s="1491">
        <f t="shared" si="96"/>
        <v>3235</v>
      </c>
      <c r="I202" s="1491">
        <f t="shared" si="96"/>
        <v>3407</v>
      </c>
      <c r="J202" s="1491">
        <f t="shared" ref="J202:N202" si="97">ROUND(J173*1.0125,0)</f>
        <v>3593</v>
      </c>
      <c r="K202" s="1491">
        <f t="shared" si="97"/>
        <v>3797</v>
      </c>
      <c r="L202" s="1491">
        <f t="shared" si="97"/>
        <v>4017</v>
      </c>
      <c r="M202" s="1491">
        <f t="shared" si="97"/>
        <v>4251</v>
      </c>
      <c r="N202" s="1491">
        <f t="shared" si="97"/>
        <v>4504</v>
      </c>
      <c r="O202" s="1493"/>
      <c r="P202" s="1493"/>
      <c r="Q202" s="1493"/>
      <c r="R202" s="1493"/>
      <c r="S202" s="1492">
        <f t="shared" si="94"/>
        <v>12</v>
      </c>
      <c r="T202" s="1489" t="s">
        <v>111</v>
      </c>
      <c r="U202" s="1490">
        <f t="shared" ref="U202:U204" si="98">+N202/$N$172</f>
        <v>1.1809124278972207</v>
      </c>
    </row>
    <row r="203" spans="1:21" x14ac:dyDescent="0.2">
      <c r="A203" s="1467" t="s">
        <v>112</v>
      </c>
      <c r="B203" s="1468">
        <f t="shared" si="95"/>
        <v>12</v>
      </c>
      <c r="C203" s="1491">
        <f t="shared" ref="C203:J225" si="99">ROUND(C174*1.0125,0)</f>
        <v>2552</v>
      </c>
      <c r="D203" s="1491">
        <f t="shared" si="99"/>
        <v>2702</v>
      </c>
      <c r="E203" s="1491">
        <f t="shared" si="99"/>
        <v>2880</v>
      </c>
      <c r="F203" s="1491">
        <f t="shared" si="99"/>
        <v>3057</v>
      </c>
      <c r="G203" s="1491">
        <f t="shared" si="99"/>
        <v>3233</v>
      </c>
      <c r="H203" s="1491">
        <f t="shared" si="99"/>
        <v>3432</v>
      </c>
      <c r="I203" s="1491">
        <f t="shared" si="99"/>
        <v>3654</v>
      </c>
      <c r="J203" s="1491">
        <f t="shared" ref="J203:N203" si="100">ROUND(J174*1.0125,0)</f>
        <v>3902</v>
      </c>
      <c r="K203" s="1491">
        <f t="shared" si="100"/>
        <v>4172</v>
      </c>
      <c r="L203" s="1491">
        <f t="shared" si="100"/>
        <v>4466</v>
      </c>
      <c r="M203" s="1491">
        <f t="shared" si="100"/>
        <v>4783</v>
      </c>
      <c r="N203" s="1491">
        <f t="shared" si="100"/>
        <v>5125</v>
      </c>
      <c r="O203" s="1493"/>
      <c r="P203" s="1493"/>
      <c r="Q203" s="1493"/>
      <c r="R203" s="1493"/>
      <c r="S203" s="1492">
        <f t="shared" si="94"/>
        <v>12</v>
      </c>
      <c r="T203" s="1489" t="s">
        <v>112</v>
      </c>
      <c r="U203" s="1490">
        <f t="shared" si="98"/>
        <v>1.3437336130047195</v>
      </c>
    </row>
    <row r="204" spans="1:21" x14ac:dyDescent="0.2">
      <c r="A204" s="1467" t="s">
        <v>113</v>
      </c>
      <c r="B204" s="1468">
        <f t="shared" si="95"/>
        <v>12</v>
      </c>
      <c r="C204" s="1491">
        <f t="shared" si="99"/>
        <v>3282</v>
      </c>
      <c r="D204" s="1491">
        <f t="shared" si="99"/>
        <v>3405</v>
      </c>
      <c r="E204" s="1491">
        <f t="shared" si="99"/>
        <v>3514</v>
      </c>
      <c r="F204" s="1491">
        <f t="shared" si="99"/>
        <v>3735</v>
      </c>
      <c r="G204" s="1491">
        <f t="shared" si="99"/>
        <v>3982</v>
      </c>
      <c r="H204" s="1491">
        <f t="shared" si="99"/>
        <v>4208</v>
      </c>
      <c r="I204" s="1491">
        <f t="shared" si="99"/>
        <v>4432</v>
      </c>
      <c r="J204" s="1491">
        <f t="shared" ref="J204:N204" si="101">ROUND(J175*1.0125,0)</f>
        <v>4658</v>
      </c>
      <c r="K204" s="1491">
        <f t="shared" si="101"/>
        <v>4882</v>
      </c>
      <c r="L204" s="1491">
        <f t="shared" si="101"/>
        <v>5106</v>
      </c>
      <c r="M204" s="1491">
        <f t="shared" si="101"/>
        <v>5331</v>
      </c>
      <c r="N204" s="1491">
        <f t="shared" si="101"/>
        <v>5559</v>
      </c>
      <c r="O204" s="1493"/>
      <c r="P204" s="1493"/>
      <c r="Q204" s="1493"/>
      <c r="R204" s="1493"/>
      <c r="S204" s="1492">
        <f t="shared" si="94"/>
        <v>12</v>
      </c>
      <c r="T204" s="1489" t="s">
        <v>113</v>
      </c>
      <c r="U204" s="1490">
        <f t="shared" si="98"/>
        <v>1.4575249082328263</v>
      </c>
    </row>
    <row r="205" spans="1:21" x14ac:dyDescent="0.2">
      <c r="A205" s="1467">
        <v>1</v>
      </c>
      <c r="B205" s="1468">
        <f t="shared" si="95"/>
        <v>7</v>
      </c>
      <c r="C205" s="1491">
        <f t="shared" si="99"/>
        <v>1561</v>
      </c>
      <c r="D205" s="1491">
        <f t="shared" si="99"/>
        <v>1625</v>
      </c>
      <c r="E205" s="1491">
        <f t="shared" si="99"/>
        <v>1686</v>
      </c>
      <c r="F205" s="1491">
        <f t="shared" si="99"/>
        <v>1714</v>
      </c>
      <c r="G205" s="1491">
        <f t="shared" si="99"/>
        <v>1748</v>
      </c>
      <c r="H205" s="1491">
        <f t="shared" si="99"/>
        <v>1780</v>
      </c>
      <c r="I205" s="1491">
        <f t="shared" si="99"/>
        <v>1823</v>
      </c>
      <c r="J205" s="1493"/>
      <c r="K205" s="1493"/>
      <c r="L205" s="1493"/>
      <c r="M205" s="1493"/>
      <c r="N205" s="1493"/>
      <c r="O205" s="1493"/>
      <c r="P205" s="1493"/>
      <c r="Q205" s="1493"/>
      <c r="R205" s="1493"/>
      <c r="S205" s="1492">
        <f t="shared" si="94"/>
        <v>7</v>
      </c>
      <c r="T205" s="1489">
        <v>1</v>
      </c>
      <c r="U205" s="1490">
        <f>+I205/$N$172</f>
        <v>0.47797587834294702</v>
      </c>
    </row>
    <row r="206" spans="1:21" x14ac:dyDescent="0.2">
      <c r="A206" s="1467">
        <v>2</v>
      </c>
      <c r="B206" s="1468">
        <f t="shared" si="95"/>
        <v>8</v>
      </c>
      <c r="C206" s="1491">
        <f t="shared" si="99"/>
        <v>1597</v>
      </c>
      <c r="D206" s="1491">
        <f t="shared" si="99"/>
        <v>1656</v>
      </c>
      <c r="E206" s="1491">
        <f t="shared" si="99"/>
        <v>1714</v>
      </c>
      <c r="F206" s="1491">
        <f t="shared" si="99"/>
        <v>1780</v>
      </c>
      <c r="G206" s="1491">
        <f t="shared" si="99"/>
        <v>1823</v>
      </c>
      <c r="H206" s="1491">
        <f t="shared" si="99"/>
        <v>1874</v>
      </c>
      <c r="I206" s="1491">
        <f t="shared" si="99"/>
        <v>1934</v>
      </c>
      <c r="J206" s="1491">
        <f t="shared" si="99"/>
        <v>1992</v>
      </c>
      <c r="K206" s="1493"/>
      <c r="L206" s="1493"/>
      <c r="M206" s="1493"/>
      <c r="N206" s="1493"/>
      <c r="O206" s="1493"/>
      <c r="P206" s="1493"/>
      <c r="Q206" s="1493"/>
      <c r="R206" s="1493"/>
      <c r="S206" s="1492">
        <f t="shared" si="94"/>
        <v>8</v>
      </c>
      <c r="T206" s="1489">
        <v>2</v>
      </c>
      <c r="U206" s="1490">
        <f>+J206/$N$172</f>
        <v>0.52228631358154165</v>
      </c>
    </row>
    <row r="207" spans="1:21" x14ac:dyDescent="0.2">
      <c r="A207" s="1467">
        <v>3</v>
      </c>
      <c r="B207" s="1468">
        <f t="shared" si="95"/>
        <v>9</v>
      </c>
      <c r="C207" s="1491">
        <f t="shared" si="99"/>
        <v>1597</v>
      </c>
      <c r="D207" s="1491">
        <f t="shared" si="99"/>
        <v>1714</v>
      </c>
      <c r="E207" s="1491">
        <f t="shared" si="99"/>
        <v>1780</v>
      </c>
      <c r="F207" s="1491">
        <f t="shared" si="99"/>
        <v>1874</v>
      </c>
      <c r="G207" s="1491">
        <f t="shared" si="99"/>
        <v>1934</v>
      </c>
      <c r="H207" s="1491">
        <f t="shared" si="99"/>
        <v>1992</v>
      </c>
      <c r="I207" s="1491">
        <f t="shared" si="99"/>
        <v>2048</v>
      </c>
      <c r="J207" s="1491">
        <f t="shared" ref="J207:K207" si="102">ROUND(J178*1.0125,0)</f>
        <v>2102</v>
      </c>
      <c r="K207" s="1491">
        <f t="shared" si="102"/>
        <v>2158</v>
      </c>
      <c r="L207" s="1493"/>
      <c r="M207" s="1493"/>
      <c r="N207" s="1493"/>
      <c r="O207" s="1493"/>
      <c r="P207" s="1493"/>
      <c r="Q207" s="1493"/>
      <c r="R207" s="1493"/>
      <c r="S207" s="1492">
        <f t="shared" si="94"/>
        <v>9</v>
      </c>
      <c r="T207" s="1489">
        <v>3</v>
      </c>
      <c r="U207" s="1490">
        <f>+K207/$N$172</f>
        <v>0.56581017304667014</v>
      </c>
    </row>
    <row r="208" spans="1:21" x14ac:dyDescent="0.2">
      <c r="A208" s="1467">
        <v>4</v>
      </c>
      <c r="B208" s="1468">
        <f t="shared" si="95"/>
        <v>11</v>
      </c>
      <c r="C208" s="1491">
        <f t="shared" si="99"/>
        <v>1625</v>
      </c>
      <c r="D208" s="1491">
        <f t="shared" si="99"/>
        <v>1686</v>
      </c>
      <c r="E208" s="1491">
        <f t="shared" si="99"/>
        <v>1748</v>
      </c>
      <c r="F208" s="1491">
        <f t="shared" si="99"/>
        <v>1823</v>
      </c>
      <c r="G208" s="1491">
        <f t="shared" si="99"/>
        <v>1934</v>
      </c>
      <c r="H208" s="1491">
        <f t="shared" si="99"/>
        <v>1992</v>
      </c>
      <c r="I208" s="1491">
        <f t="shared" si="99"/>
        <v>2048</v>
      </c>
      <c r="J208" s="1491">
        <f t="shared" ref="J208:M208" si="103">ROUND(J179*1.0125,0)</f>
        <v>2102</v>
      </c>
      <c r="K208" s="1491">
        <f t="shared" si="103"/>
        <v>2158</v>
      </c>
      <c r="L208" s="1491">
        <f t="shared" si="103"/>
        <v>2210</v>
      </c>
      <c r="M208" s="1491">
        <f t="shared" si="103"/>
        <v>2263</v>
      </c>
      <c r="N208" s="1493"/>
      <c r="O208" s="1493"/>
      <c r="P208" s="1493"/>
      <c r="Q208" s="1493"/>
      <c r="R208" s="1493"/>
      <c r="S208" s="1492">
        <f t="shared" si="94"/>
        <v>11</v>
      </c>
      <c r="T208" s="1489">
        <v>4</v>
      </c>
      <c r="U208" s="1490">
        <f>+M208/$N$172</f>
        <v>0.5933403251179864</v>
      </c>
    </row>
    <row r="209" spans="1:21" x14ac:dyDescent="0.2">
      <c r="A209" s="1467">
        <v>5</v>
      </c>
      <c r="B209" s="1468">
        <f t="shared" si="95"/>
        <v>12</v>
      </c>
      <c r="C209" s="1491">
        <f t="shared" si="99"/>
        <v>1656</v>
      </c>
      <c r="D209" s="1491">
        <f t="shared" si="99"/>
        <v>1686</v>
      </c>
      <c r="E209" s="1491">
        <f t="shared" si="99"/>
        <v>1780</v>
      </c>
      <c r="F209" s="1491">
        <f t="shared" si="99"/>
        <v>1874</v>
      </c>
      <c r="G209" s="1491">
        <f t="shared" si="99"/>
        <v>1992</v>
      </c>
      <c r="H209" s="1491">
        <f t="shared" si="99"/>
        <v>2048</v>
      </c>
      <c r="I209" s="1491">
        <f t="shared" si="99"/>
        <v>2102</v>
      </c>
      <c r="J209" s="1491">
        <f t="shared" ref="J209:N209" si="104">ROUND(J180*1.0125,0)</f>
        <v>2158</v>
      </c>
      <c r="K209" s="1491">
        <f t="shared" si="104"/>
        <v>2210</v>
      </c>
      <c r="L209" s="1491">
        <f t="shared" si="104"/>
        <v>2263</v>
      </c>
      <c r="M209" s="1491">
        <f t="shared" si="104"/>
        <v>2317</v>
      </c>
      <c r="N209" s="1491">
        <f t="shared" si="104"/>
        <v>2378</v>
      </c>
      <c r="O209" s="1493"/>
      <c r="P209" s="1493"/>
      <c r="Q209" s="1493"/>
      <c r="R209" s="1493"/>
      <c r="S209" s="1492">
        <f t="shared" si="94"/>
        <v>12</v>
      </c>
      <c r="T209" s="1489">
        <v>5</v>
      </c>
      <c r="U209" s="1490">
        <f>+N209/$N$172</f>
        <v>0.62349239643418986</v>
      </c>
    </row>
    <row r="210" spans="1:21" x14ac:dyDescent="0.2">
      <c r="A210" s="1467">
        <v>6</v>
      </c>
      <c r="B210" s="1468">
        <f t="shared" si="95"/>
        <v>11</v>
      </c>
      <c r="C210" s="1491">
        <f t="shared" si="99"/>
        <v>1714</v>
      </c>
      <c r="D210" s="1491">
        <f t="shared" si="99"/>
        <v>1780</v>
      </c>
      <c r="E210" s="1491">
        <f t="shared" si="99"/>
        <v>1992</v>
      </c>
      <c r="F210" s="1491">
        <f t="shared" si="99"/>
        <v>2102</v>
      </c>
      <c r="G210" s="1491">
        <f t="shared" si="99"/>
        <v>2158</v>
      </c>
      <c r="H210" s="1491">
        <f t="shared" si="99"/>
        <v>2210</v>
      </c>
      <c r="I210" s="1491">
        <f t="shared" si="99"/>
        <v>2263</v>
      </c>
      <c r="J210" s="1491">
        <f t="shared" ref="J210:M210" si="105">ROUND(J181*1.0125,0)</f>
        <v>2317</v>
      </c>
      <c r="K210" s="1491">
        <f t="shared" si="105"/>
        <v>2378</v>
      </c>
      <c r="L210" s="1491">
        <f t="shared" si="105"/>
        <v>2436</v>
      </c>
      <c r="M210" s="1491">
        <f t="shared" si="105"/>
        <v>2492</v>
      </c>
      <c r="N210" s="1493"/>
      <c r="O210" s="1493"/>
      <c r="P210" s="1493"/>
      <c r="Q210" s="1493"/>
      <c r="R210" s="1493"/>
      <c r="S210" s="1492">
        <f t="shared" si="94"/>
        <v>11</v>
      </c>
      <c r="T210" s="1489">
        <v>6</v>
      </c>
      <c r="U210" s="1490">
        <f>+M210/$N$172</f>
        <v>0.65338227582590458</v>
      </c>
    </row>
    <row r="211" spans="1:21" x14ac:dyDescent="0.2">
      <c r="A211" s="1467">
        <v>7</v>
      </c>
      <c r="B211" s="1468">
        <f t="shared" si="95"/>
        <v>12</v>
      </c>
      <c r="C211" s="1491">
        <f t="shared" si="99"/>
        <v>1823</v>
      </c>
      <c r="D211" s="1491">
        <f t="shared" si="99"/>
        <v>1874</v>
      </c>
      <c r="E211" s="1491">
        <f t="shared" si="99"/>
        <v>1992</v>
      </c>
      <c r="F211" s="1491">
        <f t="shared" si="99"/>
        <v>2210</v>
      </c>
      <c r="G211" s="1491">
        <f t="shared" si="99"/>
        <v>2317</v>
      </c>
      <c r="H211" s="1491">
        <f t="shared" si="99"/>
        <v>2378</v>
      </c>
      <c r="I211" s="1491">
        <f t="shared" si="99"/>
        <v>2436</v>
      </c>
      <c r="J211" s="1491">
        <f t="shared" ref="J211:N211" si="106">ROUND(J182*1.0125,0)</f>
        <v>2492</v>
      </c>
      <c r="K211" s="1491">
        <f t="shared" si="106"/>
        <v>2552</v>
      </c>
      <c r="L211" s="1491">
        <f t="shared" si="106"/>
        <v>2612</v>
      </c>
      <c r="M211" s="1491">
        <f t="shared" si="106"/>
        <v>2675</v>
      </c>
      <c r="N211" s="1491">
        <f t="shared" si="106"/>
        <v>2748</v>
      </c>
      <c r="O211" s="1493"/>
      <c r="P211" s="1493"/>
      <c r="Q211" s="1493"/>
      <c r="R211" s="1493"/>
      <c r="S211" s="1492">
        <f t="shared" si="94"/>
        <v>12</v>
      </c>
      <c r="T211" s="1489">
        <v>7</v>
      </c>
      <c r="U211" s="1490">
        <f>+N211/$N$172</f>
        <v>0.72050340849501837</v>
      </c>
    </row>
    <row r="212" spans="1:21" x14ac:dyDescent="0.2">
      <c r="A212" s="1467">
        <v>8</v>
      </c>
      <c r="B212" s="1468">
        <f t="shared" si="95"/>
        <v>13</v>
      </c>
      <c r="C212" s="1491">
        <f t="shared" si="99"/>
        <v>2048</v>
      </c>
      <c r="D212" s="1491">
        <f t="shared" si="99"/>
        <v>2102</v>
      </c>
      <c r="E212" s="1491">
        <f t="shared" si="99"/>
        <v>2210</v>
      </c>
      <c r="F212" s="1491">
        <f t="shared" si="99"/>
        <v>2436</v>
      </c>
      <c r="G212" s="1491">
        <f t="shared" si="99"/>
        <v>2552</v>
      </c>
      <c r="H212" s="1491">
        <f t="shared" si="99"/>
        <v>2675</v>
      </c>
      <c r="I212" s="1491">
        <f t="shared" si="99"/>
        <v>2748</v>
      </c>
      <c r="J212" s="1491">
        <f t="shared" ref="J212:O212" si="107">ROUND(J183*1.0125,0)</f>
        <v>2813</v>
      </c>
      <c r="K212" s="1491">
        <f t="shared" si="107"/>
        <v>2869</v>
      </c>
      <c r="L212" s="1491">
        <f t="shared" si="107"/>
        <v>2933</v>
      </c>
      <c r="M212" s="1491">
        <f t="shared" si="107"/>
        <v>2995</v>
      </c>
      <c r="N212" s="1491">
        <f t="shared" si="107"/>
        <v>3053</v>
      </c>
      <c r="O212" s="1491">
        <f t="shared" si="107"/>
        <v>3107</v>
      </c>
      <c r="P212" s="1493"/>
      <c r="Q212" s="1493"/>
      <c r="R212" s="1493"/>
      <c r="S212" s="1492">
        <f t="shared" si="94"/>
        <v>13</v>
      </c>
      <c r="T212" s="1489">
        <v>8</v>
      </c>
      <c r="U212" s="1490">
        <f>+O212/$N$172</f>
        <v>0.81463030938647085</v>
      </c>
    </row>
    <row r="213" spans="1:21" x14ac:dyDescent="0.2">
      <c r="A213" s="1467">
        <v>9</v>
      </c>
      <c r="B213" s="1468">
        <f t="shared" si="95"/>
        <v>9</v>
      </c>
      <c r="C213" s="1491">
        <f t="shared" si="99"/>
        <v>2317</v>
      </c>
      <c r="D213" s="1491">
        <f t="shared" si="99"/>
        <v>2436</v>
      </c>
      <c r="E213" s="1491">
        <f t="shared" si="99"/>
        <v>2675</v>
      </c>
      <c r="F213" s="1491">
        <f t="shared" si="99"/>
        <v>2813</v>
      </c>
      <c r="G213" s="1491">
        <f t="shared" si="99"/>
        <v>2933</v>
      </c>
      <c r="H213" s="1491">
        <f t="shared" si="99"/>
        <v>3053</v>
      </c>
      <c r="I213" s="1491">
        <f t="shared" si="99"/>
        <v>3168</v>
      </c>
      <c r="J213" s="1491">
        <f t="shared" ref="J213:K213" si="108">ROUND(J184*1.0125,0)</f>
        <v>3282</v>
      </c>
      <c r="K213" s="1491">
        <f t="shared" si="108"/>
        <v>3405</v>
      </c>
      <c r="L213" s="1493"/>
      <c r="M213" s="1493"/>
      <c r="N213" s="1493"/>
      <c r="O213" s="1493"/>
      <c r="P213" s="1493"/>
      <c r="Q213" s="1493"/>
      <c r="R213" s="1493"/>
      <c r="S213" s="1492">
        <f t="shared" si="94"/>
        <v>9</v>
      </c>
      <c r="T213" s="1489">
        <v>9</v>
      </c>
      <c r="U213" s="1490">
        <f>+K213/$N$172</f>
        <v>0.89276350288411122</v>
      </c>
    </row>
    <row r="214" spans="1:21" x14ac:dyDescent="0.2">
      <c r="A214" s="1467">
        <v>10</v>
      </c>
      <c r="B214" s="1468">
        <f t="shared" si="95"/>
        <v>13</v>
      </c>
      <c r="C214" s="1491">
        <f t="shared" si="99"/>
        <v>2317</v>
      </c>
      <c r="D214" s="1491">
        <f t="shared" si="99"/>
        <v>2552</v>
      </c>
      <c r="E214" s="1491">
        <f t="shared" si="99"/>
        <v>2675</v>
      </c>
      <c r="F214" s="1491">
        <f t="shared" si="99"/>
        <v>2813</v>
      </c>
      <c r="G214" s="1491">
        <f t="shared" si="99"/>
        <v>2933</v>
      </c>
      <c r="H214" s="1491">
        <f t="shared" si="99"/>
        <v>3053</v>
      </c>
      <c r="I214" s="1491">
        <f t="shared" si="99"/>
        <v>3168</v>
      </c>
      <c r="J214" s="1491">
        <f t="shared" ref="J214:K214" si="109">ROUND(J185*1.0125,0)</f>
        <v>3282</v>
      </c>
      <c r="K214" s="1491">
        <f t="shared" si="109"/>
        <v>3405</v>
      </c>
      <c r="L214" s="1491">
        <f t="shared" ref="L214:M214" si="110">ROUND(L185*1.0125,0)</f>
        <v>3514</v>
      </c>
      <c r="M214" s="1491">
        <f t="shared" si="110"/>
        <v>3626</v>
      </c>
      <c r="N214" s="1491">
        <f t="shared" ref="N214:O214" si="111">ROUND(N185*1.0125,0)</f>
        <v>3735</v>
      </c>
      <c r="O214" s="1491">
        <f t="shared" si="111"/>
        <v>3862</v>
      </c>
      <c r="P214" s="1493"/>
      <c r="Q214" s="1493"/>
      <c r="R214" s="1493"/>
      <c r="S214" s="1492">
        <f t="shared" si="94"/>
        <v>13</v>
      </c>
      <c r="T214" s="1489">
        <v>10</v>
      </c>
      <c r="U214" s="1490">
        <f>+O214/$N$172</f>
        <v>1.0125852123754588</v>
      </c>
    </row>
    <row r="215" spans="1:21" x14ac:dyDescent="0.2">
      <c r="A215" s="1467">
        <v>11</v>
      </c>
      <c r="B215" s="1468">
        <f t="shared" si="95"/>
        <v>16</v>
      </c>
      <c r="C215" s="1491">
        <f t="shared" si="99"/>
        <v>2436</v>
      </c>
      <c r="D215" s="1491">
        <f t="shared" si="99"/>
        <v>2552</v>
      </c>
      <c r="E215" s="1491">
        <f t="shared" si="99"/>
        <v>2675</v>
      </c>
      <c r="F215" s="1491">
        <f t="shared" si="99"/>
        <v>2813</v>
      </c>
      <c r="G215" s="1491">
        <f t="shared" si="99"/>
        <v>2941</v>
      </c>
      <c r="H215" s="1491">
        <f t="shared" si="99"/>
        <v>3070</v>
      </c>
      <c r="I215" s="1491">
        <f t="shared" si="99"/>
        <v>3198</v>
      </c>
      <c r="J215" s="1491">
        <f t="shared" ref="J215:K215" si="112">ROUND(J186*1.0125,0)</f>
        <v>3405</v>
      </c>
      <c r="K215" s="1491">
        <f t="shared" si="112"/>
        <v>3542</v>
      </c>
      <c r="L215" s="1491">
        <f t="shared" ref="L215:M215" si="113">ROUND(L186*1.0125,0)</f>
        <v>3679</v>
      </c>
      <c r="M215" s="1491">
        <f t="shared" si="113"/>
        <v>3816</v>
      </c>
      <c r="N215" s="1491">
        <f t="shared" ref="N215:O215" si="114">ROUND(N186*1.0125,0)</f>
        <v>3955</v>
      </c>
      <c r="O215" s="1491">
        <f t="shared" si="114"/>
        <v>4093</v>
      </c>
      <c r="P215" s="1491">
        <f t="shared" ref="P215:R215" si="115">ROUND(P186*1.0125,0)</f>
        <v>4229</v>
      </c>
      <c r="Q215" s="1491">
        <f t="shared" si="115"/>
        <v>4368</v>
      </c>
      <c r="R215" s="1491">
        <f t="shared" si="115"/>
        <v>4504</v>
      </c>
      <c r="S215" s="1492">
        <f t="shared" si="94"/>
        <v>16</v>
      </c>
      <c r="T215" s="1489">
        <v>11</v>
      </c>
      <c r="U215" s="1490">
        <f>+R215/$N$172</f>
        <v>1.1809124278972207</v>
      </c>
    </row>
    <row r="216" spans="1:21" x14ac:dyDescent="0.2">
      <c r="A216" s="1467">
        <v>12</v>
      </c>
      <c r="B216" s="1468">
        <f t="shared" si="95"/>
        <v>16</v>
      </c>
      <c r="C216" s="1491">
        <f t="shared" si="99"/>
        <v>3282</v>
      </c>
      <c r="D216" s="1491">
        <f t="shared" si="99"/>
        <v>3405</v>
      </c>
      <c r="E216" s="1491">
        <f t="shared" si="99"/>
        <v>3514</v>
      </c>
      <c r="F216" s="1491">
        <f t="shared" si="99"/>
        <v>3626</v>
      </c>
      <c r="G216" s="1491">
        <f t="shared" si="99"/>
        <v>3735</v>
      </c>
      <c r="H216" s="1491">
        <f t="shared" si="99"/>
        <v>3862</v>
      </c>
      <c r="I216" s="1491">
        <f t="shared" si="99"/>
        <v>4104</v>
      </c>
      <c r="J216" s="1491">
        <f t="shared" ref="J216:K216" si="116">ROUND(J187*1.0125,0)</f>
        <v>4217</v>
      </c>
      <c r="K216" s="1491">
        <f t="shared" si="116"/>
        <v>4334</v>
      </c>
      <c r="L216" s="1491">
        <f t="shared" ref="L216:M216" si="117">ROUND(L187*1.0125,0)</f>
        <v>4446</v>
      </c>
      <c r="M216" s="1491">
        <f t="shared" si="117"/>
        <v>4564</v>
      </c>
      <c r="N216" s="1491">
        <f t="shared" ref="N216:O216" si="118">ROUND(N187*1.0125,0)</f>
        <v>4680</v>
      </c>
      <c r="O216" s="1491">
        <f t="shared" si="118"/>
        <v>4793</v>
      </c>
      <c r="P216" s="1491">
        <f t="shared" ref="P216:R216" si="119">ROUND(P187*1.0125,0)</f>
        <v>4907</v>
      </c>
      <c r="Q216" s="1491">
        <f t="shared" si="119"/>
        <v>5052</v>
      </c>
      <c r="R216" s="1491">
        <f t="shared" si="119"/>
        <v>5125</v>
      </c>
      <c r="S216" s="1492">
        <f t="shared" si="94"/>
        <v>16</v>
      </c>
      <c r="T216" s="1489">
        <v>12</v>
      </c>
      <c r="U216" s="1490">
        <f>+R216/$N$172</f>
        <v>1.3437336130047195</v>
      </c>
    </row>
    <row r="217" spans="1:21" x14ac:dyDescent="0.2">
      <c r="A217" s="1467">
        <v>13</v>
      </c>
      <c r="B217" s="1468">
        <f t="shared" si="95"/>
        <v>13</v>
      </c>
      <c r="C217" s="1491">
        <f t="shared" si="99"/>
        <v>3982</v>
      </c>
      <c r="D217" s="1491">
        <f t="shared" si="99"/>
        <v>4104</v>
      </c>
      <c r="E217" s="1491">
        <f t="shared" si="99"/>
        <v>4217</v>
      </c>
      <c r="F217" s="1491">
        <f t="shared" si="99"/>
        <v>4334</v>
      </c>
      <c r="G217" s="1491">
        <f t="shared" si="99"/>
        <v>4446</v>
      </c>
      <c r="H217" s="1491">
        <f t="shared" si="99"/>
        <v>4680</v>
      </c>
      <c r="I217" s="1491">
        <f t="shared" si="99"/>
        <v>4793</v>
      </c>
      <c r="J217" s="1491">
        <f t="shared" ref="J217:K217" si="120">ROUND(J188*1.0125,0)</f>
        <v>4907</v>
      </c>
      <c r="K217" s="1491">
        <f t="shared" si="120"/>
        <v>5052</v>
      </c>
      <c r="L217" s="1491">
        <f t="shared" ref="L217:M217" si="121">ROUND(L188*1.0125,0)</f>
        <v>5197</v>
      </c>
      <c r="M217" s="1491">
        <f t="shared" si="121"/>
        <v>5342</v>
      </c>
      <c r="N217" s="1491">
        <f t="shared" ref="N217:O217" si="122">ROUND(N188*1.0125,0)</f>
        <v>5488</v>
      </c>
      <c r="O217" s="1491">
        <f t="shared" si="122"/>
        <v>5559</v>
      </c>
      <c r="P217" s="1493"/>
      <c r="Q217" s="1493"/>
      <c r="R217" s="1493"/>
      <c r="S217" s="1492">
        <f t="shared" si="94"/>
        <v>13</v>
      </c>
      <c r="T217" s="1489">
        <v>13</v>
      </c>
      <c r="U217" s="1490">
        <f>+O217/$N$172</f>
        <v>1.4575249082328263</v>
      </c>
    </row>
    <row r="218" spans="1:21" x14ac:dyDescent="0.2">
      <c r="A218" s="1467">
        <v>14</v>
      </c>
      <c r="B218" s="1468">
        <f t="shared" si="95"/>
        <v>11</v>
      </c>
      <c r="C218" s="1491">
        <f t="shared" si="99"/>
        <v>4564</v>
      </c>
      <c r="D218" s="1491">
        <f t="shared" si="99"/>
        <v>4680</v>
      </c>
      <c r="E218" s="1491">
        <f t="shared" si="99"/>
        <v>4907</v>
      </c>
      <c r="F218" s="1491">
        <f t="shared" si="99"/>
        <v>5052</v>
      </c>
      <c r="G218" s="1491">
        <f t="shared" si="99"/>
        <v>5197</v>
      </c>
      <c r="H218" s="1491">
        <f t="shared" si="99"/>
        <v>5342</v>
      </c>
      <c r="I218" s="1491">
        <f t="shared" si="99"/>
        <v>5488</v>
      </c>
      <c r="J218" s="1491">
        <f t="shared" ref="J218:K218" si="123">ROUND(J189*1.0125,0)</f>
        <v>5634</v>
      </c>
      <c r="K218" s="1491">
        <f t="shared" si="123"/>
        <v>5786</v>
      </c>
      <c r="L218" s="1491">
        <f t="shared" ref="L218:M218" si="124">ROUND(L189*1.0125,0)</f>
        <v>5945</v>
      </c>
      <c r="M218" s="1491">
        <f t="shared" si="124"/>
        <v>6107</v>
      </c>
      <c r="N218" s="1491"/>
      <c r="O218" s="1493"/>
      <c r="P218" s="1493"/>
      <c r="Q218" s="1493"/>
      <c r="R218" s="1493"/>
      <c r="S218" s="1492">
        <f t="shared" si="94"/>
        <v>11</v>
      </c>
      <c r="T218" s="1489">
        <v>14</v>
      </c>
      <c r="U218" s="1490">
        <f>+M218/$N$172</f>
        <v>1.6012060828526482</v>
      </c>
    </row>
    <row r="219" spans="1:21" x14ac:dyDescent="0.2">
      <c r="A219" s="1467">
        <v>15</v>
      </c>
      <c r="B219" s="1468">
        <f t="shared" si="95"/>
        <v>12</v>
      </c>
      <c r="C219" s="1491">
        <f t="shared" si="99"/>
        <v>4793</v>
      </c>
      <c r="D219" s="1491">
        <f t="shared" si="99"/>
        <v>4907</v>
      </c>
      <c r="E219" s="1491">
        <f t="shared" si="99"/>
        <v>5052</v>
      </c>
      <c r="F219" s="1491">
        <f t="shared" si="99"/>
        <v>5342</v>
      </c>
      <c r="G219" s="1491">
        <f t="shared" si="99"/>
        <v>5488</v>
      </c>
      <c r="H219" s="1491">
        <f t="shared" si="99"/>
        <v>5634</v>
      </c>
      <c r="I219" s="1491">
        <f t="shared" si="99"/>
        <v>5786</v>
      </c>
      <c r="J219" s="1491">
        <f t="shared" ref="J219:K219" si="125">ROUND(J190*1.0125,0)</f>
        <v>5945</v>
      </c>
      <c r="K219" s="1491">
        <f t="shared" si="125"/>
        <v>6107</v>
      </c>
      <c r="L219" s="1491">
        <f t="shared" ref="L219:N219" si="126">ROUND(L190*1.0125,0)</f>
        <v>6301</v>
      </c>
      <c r="M219" s="1491">
        <f t="shared" si="126"/>
        <v>6503</v>
      </c>
      <c r="N219" s="1491">
        <f t="shared" si="126"/>
        <v>6709</v>
      </c>
      <c r="O219" s="1493"/>
      <c r="P219" s="1493"/>
      <c r="Q219" s="1493"/>
      <c r="R219" s="1493"/>
      <c r="S219" s="1492">
        <f t="shared" si="94"/>
        <v>12</v>
      </c>
      <c r="T219" s="1489">
        <v>15</v>
      </c>
      <c r="U219" s="1490">
        <f>+N219/$N$172</f>
        <v>1.7590456213948611</v>
      </c>
    </row>
    <row r="220" spans="1:21" x14ac:dyDescent="0.2">
      <c r="A220" s="1467">
        <v>16</v>
      </c>
      <c r="B220" s="1468">
        <f t="shared" si="95"/>
        <v>12</v>
      </c>
      <c r="C220" s="1491">
        <f t="shared" si="99"/>
        <v>5197</v>
      </c>
      <c r="D220" s="1491">
        <f t="shared" si="99"/>
        <v>5342</v>
      </c>
      <c r="E220" s="1491">
        <f t="shared" si="99"/>
        <v>5488</v>
      </c>
      <c r="F220" s="1491">
        <f t="shared" si="99"/>
        <v>5786</v>
      </c>
      <c r="G220" s="1491">
        <f t="shared" si="99"/>
        <v>5945</v>
      </c>
      <c r="H220" s="1491">
        <f t="shared" si="99"/>
        <v>6107</v>
      </c>
      <c r="I220" s="1491">
        <f t="shared" si="99"/>
        <v>6301</v>
      </c>
      <c r="J220" s="1491">
        <f t="shared" ref="J220:K220" si="127">ROUND(J191*1.0125,0)</f>
        <v>6503</v>
      </c>
      <c r="K220" s="1491">
        <f t="shared" si="127"/>
        <v>6709</v>
      </c>
      <c r="L220" s="1491">
        <f t="shared" ref="L220:N220" si="128">ROUND(L191*1.0125,0)</f>
        <v>6923</v>
      </c>
      <c r="M220" s="1491">
        <f t="shared" si="128"/>
        <v>7143</v>
      </c>
      <c r="N220" s="1491">
        <f t="shared" si="128"/>
        <v>7372</v>
      </c>
      <c r="O220" s="1493"/>
      <c r="P220" s="1493"/>
      <c r="Q220" s="1493"/>
      <c r="R220" s="1493"/>
      <c r="S220" s="1492">
        <f t="shared" si="94"/>
        <v>12</v>
      </c>
      <c r="T220" s="1489">
        <v>16</v>
      </c>
      <c r="U220" s="1490">
        <f>+N220/$N$172</f>
        <v>1.9328788673308863</v>
      </c>
    </row>
    <row r="221" spans="1:21" x14ac:dyDescent="0.2">
      <c r="A221" s="1467">
        <v>17</v>
      </c>
      <c r="B221" s="1468">
        <f t="shared" si="95"/>
        <v>12</v>
      </c>
      <c r="C221" s="1491">
        <f t="shared" si="99"/>
        <v>5634</v>
      </c>
      <c r="D221" s="1491">
        <f t="shared" si="99"/>
        <v>5786</v>
      </c>
      <c r="E221" s="1491">
        <f t="shared" si="99"/>
        <v>5945</v>
      </c>
      <c r="F221" s="1491">
        <f t="shared" si="99"/>
        <v>6301</v>
      </c>
      <c r="G221" s="1491">
        <f t="shared" si="99"/>
        <v>6503</v>
      </c>
      <c r="H221" s="1491">
        <f t="shared" si="99"/>
        <v>6709</v>
      </c>
      <c r="I221" s="1491">
        <f t="shared" si="99"/>
        <v>6923</v>
      </c>
      <c r="J221" s="1491">
        <f t="shared" ref="J221:K221" si="129">ROUND(J192*1.0125,0)</f>
        <v>7143</v>
      </c>
      <c r="K221" s="1491">
        <f t="shared" si="129"/>
        <v>7372</v>
      </c>
      <c r="L221" s="1491">
        <f t="shared" ref="L221:N221" si="130">ROUND(L192*1.0125,0)</f>
        <v>7608</v>
      </c>
      <c r="M221" s="1491">
        <f t="shared" si="130"/>
        <v>7850</v>
      </c>
      <c r="N221" s="1491">
        <f t="shared" si="130"/>
        <v>8099</v>
      </c>
      <c r="O221" s="1493"/>
      <c r="P221" s="1493"/>
      <c r="Q221" s="1493"/>
      <c r="R221" s="1493"/>
      <c r="S221" s="1492">
        <f t="shared" si="94"/>
        <v>12</v>
      </c>
      <c r="T221" s="1489">
        <v>17</v>
      </c>
      <c r="U221" s="1490">
        <f>+N221/$N$172</f>
        <v>2.1234923964341896</v>
      </c>
    </row>
    <row r="222" spans="1:21" x14ac:dyDescent="0.2">
      <c r="A222" s="1467" t="s">
        <v>142</v>
      </c>
      <c r="B222" s="1468">
        <f t="shared" si="95"/>
        <v>9</v>
      </c>
      <c r="C222" s="1494">
        <v>1507.8</v>
      </c>
      <c r="D222" s="1494">
        <f>(C205+C222)/2</f>
        <v>1534.4</v>
      </c>
      <c r="E222" s="1491">
        <f t="shared" ref="E222:K222" si="131">ROUND(E193*1.0125,0)</f>
        <v>1561</v>
      </c>
      <c r="F222" s="1491">
        <f t="shared" si="131"/>
        <v>1625</v>
      </c>
      <c r="G222" s="1491">
        <f t="shared" si="131"/>
        <v>1686</v>
      </c>
      <c r="H222" s="1491">
        <f t="shared" si="131"/>
        <v>1714</v>
      </c>
      <c r="I222" s="1491">
        <f t="shared" si="131"/>
        <v>1748</v>
      </c>
      <c r="J222" s="1491">
        <f t="shared" si="131"/>
        <v>1780</v>
      </c>
      <c r="K222" s="1491">
        <f t="shared" si="131"/>
        <v>1823</v>
      </c>
      <c r="L222" s="1493"/>
      <c r="M222" s="1493"/>
      <c r="N222" s="1493"/>
      <c r="O222" s="1493"/>
      <c r="P222" s="1493"/>
      <c r="Q222" s="1493"/>
      <c r="R222" s="1493"/>
      <c r="S222" s="1492">
        <f t="shared" si="94"/>
        <v>9</v>
      </c>
      <c r="T222" s="1489" t="s">
        <v>142</v>
      </c>
      <c r="U222" s="1490">
        <f>+K222/$N$172</f>
        <v>0.47797587834294702</v>
      </c>
    </row>
    <row r="223" spans="1:21" x14ac:dyDescent="0.2">
      <c r="A223" s="1467" t="s">
        <v>143</v>
      </c>
      <c r="B223" s="1468">
        <f t="shared" si="95"/>
        <v>8</v>
      </c>
      <c r="C223" s="1491">
        <f t="shared" si="99"/>
        <v>1597</v>
      </c>
      <c r="D223" s="1491">
        <f t="shared" ref="D223" si="132">ROUND(D194*1.0125,0)</f>
        <v>1656</v>
      </c>
      <c r="E223" s="1491">
        <f t="shared" ref="E223:J223" si="133">ROUND(E194*1.0125,0)</f>
        <v>1714</v>
      </c>
      <c r="F223" s="1491">
        <f t="shared" si="133"/>
        <v>1780</v>
      </c>
      <c r="G223" s="1491">
        <f t="shared" si="133"/>
        <v>1823</v>
      </c>
      <c r="H223" s="1491">
        <f t="shared" si="133"/>
        <v>1874</v>
      </c>
      <c r="I223" s="1491">
        <f t="shared" si="133"/>
        <v>1934</v>
      </c>
      <c r="J223" s="1491">
        <f t="shared" si="133"/>
        <v>1992</v>
      </c>
      <c r="K223" s="1493"/>
      <c r="L223" s="1493"/>
      <c r="M223" s="1493"/>
      <c r="N223" s="1493"/>
      <c r="O223" s="1493"/>
      <c r="P223" s="1493"/>
      <c r="Q223" s="1493"/>
      <c r="R223" s="1493"/>
      <c r="S223" s="1492">
        <f t="shared" si="94"/>
        <v>8</v>
      </c>
      <c r="T223" s="1489" t="s">
        <v>143</v>
      </c>
      <c r="U223" s="1490">
        <f>+J223/$N$172</f>
        <v>0.52228631358154165</v>
      </c>
    </row>
    <row r="224" spans="1:21" x14ac:dyDescent="0.2">
      <c r="A224" s="1467" t="s">
        <v>144</v>
      </c>
      <c r="B224" s="1468">
        <f t="shared" si="95"/>
        <v>9</v>
      </c>
      <c r="C224" s="1491">
        <f t="shared" si="99"/>
        <v>1597</v>
      </c>
      <c r="D224" s="1491">
        <f t="shared" ref="D224" si="134">ROUND(D195*1.0125,0)</f>
        <v>1714</v>
      </c>
      <c r="E224" s="1491">
        <f t="shared" ref="E224:K224" si="135">ROUND(E195*1.0125,0)</f>
        <v>1780</v>
      </c>
      <c r="F224" s="1491">
        <f t="shared" si="135"/>
        <v>1874</v>
      </c>
      <c r="G224" s="1491">
        <f t="shared" si="135"/>
        <v>1934</v>
      </c>
      <c r="H224" s="1491">
        <f t="shared" si="135"/>
        <v>1992</v>
      </c>
      <c r="I224" s="1491">
        <f t="shared" si="135"/>
        <v>2048</v>
      </c>
      <c r="J224" s="1491">
        <f t="shared" si="135"/>
        <v>2102</v>
      </c>
      <c r="K224" s="1491">
        <f t="shared" si="135"/>
        <v>2158</v>
      </c>
      <c r="L224" s="1493"/>
      <c r="M224" s="1493"/>
      <c r="N224" s="1493"/>
      <c r="O224" s="1493"/>
      <c r="P224" s="1493"/>
      <c r="Q224" s="1493"/>
      <c r="R224" s="1493"/>
      <c r="S224" s="1492">
        <f t="shared" si="94"/>
        <v>9</v>
      </c>
      <c r="T224" s="1489" t="s">
        <v>144</v>
      </c>
      <c r="U224" s="1490">
        <f>+I224/$N$172</f>
        <v>0.53696906135291034</v>
      </c>
    </row>
    <row r="225" spans="1:21" x14ac:dyDescent="0.2">
      <c r="A225" s="1476" t="s">
        <v>419</v>
      </c>
      <c r="B225" s="1477">
        <f t="shared" si="95"/>
        <v>1</v>
      </c>
      <c r="C225" s="1675">
        <f t="shared" si="99"/>
        <v>1263</v>
      </c>
      <c r="D225" s="1495"/>
      <c r="E225" s="1495"/>
      <c r="F225" s="1495"/>
      <c r="G225" s="1495"/>
      <c r="H225" s="1495"/>
      <c r="I225" s="1495"/>
      <c r="J225" s="1495"/>
      <c r="K225" s="1495"/>
      <c r="L225" s="1495"/>
      <c r="M225" s="1495"/>
      <c r="N225" s="1495"/>
      <c r="O225" s="1495"/>
      <c r="P225" s="1495"/>
      <c r="Q225" s="1495"/>
      <c r="R225" s="1495"/>
      <c r="S225" s="1496">
        <f t="shared" si="94"/>
        <v>1</v>
      </c>
      <c r="T225" s="1489" t="s">
        <v>419</v>
      </c>
      <c r="U225" s="1490">
        <f>+C225/$N$172</f>
        <v>0.3311484006292606</v>
      </c>
    </row>
    <row r="228" spans="1:21" x14ac:dyDescent="0.2">
      <c r="A228" s="1456" t="s">
        <v>418</v>
      </c>
      <c r="B228" s="1457"/>
      <c r="C228" s="1482">
        <v>42370</v>
      </c>
      <c r="D228" s="1458" t="s">
        <v>1018</v>
      </c>
      <c r="E228" s="1483"/>
      <c r="F228" s="1484"/>
      <c r="G228" s="1683">
        <v>0.03</v>
      </c>
      <c r="H228" s="898"/>
      <c r="I228" s="898"/>
      <c r="J228" s="898"/>
      <c r="K228" s="1483"/>
      <c r="L228" s="1483"/>
      <c r="M228" s="1483"/>
      <c r="N228" s="1483"/>
      <c r="O228" s="1483"/>
      <c r="P228" s="1485"/>
      <c r="Q228" s="1485"/>
      <c r="R228" s="1485"/>
      <c r="S228" s="1485"/>
      <c r="T228" s="1391" t="s">
        <v>75</v>
      </c>
      <c r="U228" s="1486"/>
    </row>
    <row r="229" spans="1:21" x14ac:dyDescent="0.2">
      <c r="A229" s="1426" t="s">
        <v>606</v>
      </c>
      <c r="B229" s="1459"/>
      <c r="C229" s="1460">
        <v>1</v>
      </c>
      <c r="D229" s="1460">
        <v>2</v>
      </c>
      <c r="E229" s="1460">
        <v>3</v>
      </c>
      <c r="F229" s="1460">
        <v>4</v>
      </c>
      <c r="G229" s="1460">
        <v>5</v>
      </c>
      <c r="H229" s="1460">
        <v>6</v>
      </c>
      <c r="I229" s="1460">
        <v>7</v>
      </c>
      <c r="J229" s="1460">
        <v>8</v>
      </c>
      <c r="K229" s="1460">
        <v>9</v>
      </c>
      <c r="L229" s="1460">
        <v>10</v>
      </c>
      <c r="M229" s="1460">
        <v>11</v>
      </c>
      <c r="N229" s="1460">
        <v>12</v>
      </c>
      <c r="O229" s="1460">
        <v>13</v>
      </c>
      <c r="P229" s="1460">
        <v>14</v>
      </c>
      <c r="Q229" s="1460">
        <v>15</v>
      </c>
      <c r="R229" s="1460">
        <v>16</v>
      </c>
      <c r="S229" s="1460" t="s">
        <v>607</v>
      </c>
      <c r="T229" s="1391" t="s">
        <v>76</v>
      </c>
    </row>
    <row r="230" spans="1:21" x14ac:dyDescent="0.2">
      <c r="A230" s="1461" t="s">
        <v>110</v>
      </c>
      <c r="B230" s="1462">
        <f>S230</f>
        <v>12</v>
      </c>
      <c r="C230" s="1487">
        <v>2601</v>
      </c>
      <c r="D230" s="1487">
        <v>2665</v>
      </c>
      <c r="E230" s="1487">
        <v>2746</v>
      </c>
      <c r="F230" s="1487">
        <v>2827</v>
      </c>
      <c r="G230" s="1487">
        <v>2909</v>
      </c>
      <c r="H230" s="1487">
        <v>3010</v>
      </c>
      <c r="I230" s="1487">
        <v>3128</v>
      </c>
      <c r="J230" s="1487">
        <v>3262</v>
      </c>
      <c r="K230" s="1487">
        <v>3414</v>
      </c>
      <c r="L230" s="1487">
        <v>3583</v>
      </c>
      <c r="M230" s="1487">
        <v>3770</v>
      </c>
      <c r="N230" s="1487">
        <v>3978</v>
      </c>
      <c r="O230" s="1487"/>
      <c r="P230" s="1487"/>
      <c r="Q230" s="1487"/>
      <c r="R230" s="1487"/>
      <c r="S230" s="1488">
        <f t="shared" ref="S230:S254" si="136">COUNTA(C230:R230)</f>
        <v>12</v>
      </c>
      <c r="T230" s="1489" t="s">
        <v>110</v>
      </c>
      <c r="U230" s="1490">
        <f>+N230/$N$230</f>
        <v>1</v>
      </c>
    </row>
    <row r="231" spans="1:21" x14ac:dyDescent="0.2">
      <c r="A231" s="1467" t="s">
        <v>111</v>
      </c>
      <c r="B231" s="1468">
        <f t="shared" ref="B231:B254" si="137">S231</f>
        <v>12</v>
      </c>
      <c r="C231" s="1491">
        <v>2617</v>
      </c>
      <c r="D231" s="1491">
        <v>2743</v>
      </c>
      <c r="E231" s="1491">
        <v>2886</v>
      </c>
      <c r="F231" s="1491">
        <v>3030</v>
      </c>
      <c r="G231" s="1491">
        <v>3172</v>
      </c>
      <c r="H231" s="1491">
        <v>3332</v>
      </c>
      <c r="I231" s="1491">
        <v>3509</v>
      </c>
      <c r="J231" s="1491">
        <v>3701</v>
      </c>
      <c r="K231" s="1491">
        <v>3911</v>
      </c>
      <c r="L231" s="1491">
        <v>4137</v>
      </c>
      <c r="M231" s="1491">
        <v>4380</v>
      </c>
      <c r="N231" s="1491">
        <v>4639</v>
      </c>
      <c r="O231" s="1493"/>
      <c r="P231" s="1493"/>
      <c r="Q231" s="1493"/>
      <c r="R231" s="1493"/>
      <c r="S231" s="1492">
        <f t="shared" si="136"/>
        <v>12</v>
      </c>
      <c r="T231" s="1489" t="s">
        <v>111</v>
      </c>
      <c r="U231" s="1490">
        <f>+N231/$N$230</f>
        <v>1.1661639014580192</v>
      </c>
    </row>
    <row r="232" spans="1:21" x14ac:dyDescent="0.2">
      <c r="A232" s="1467" t="s">
        <v>112</v>
      </c>
      <c r="B232" s="1468">
        <f t="shared" si="137"/>
        <v>12</v>
      </c>
      <c r="C232" s="1491">
        <v>2628</v>
      </c>
      <c r="D232" s="1491">
        <v>2784</v>
      </c>
      <c r="E232" s="1491">
        <v>2966</v>
      </c>
      <c r="F232" s="1491">
        <v>3148</v>
      </c>
      <c r="G232" s="1491">
        <v>3330</v>
      </c>
      <c r="H232" s="1491">
        <v>3535</v>
      </c>
      <c r="I232" s="1491">
        <v>3764</v>
      </c>
      <c r="J232" s="1491">
        <v>4019</v>
      </c>
      <c r="K232" s="1491">
        <v>4297</v>
      </c>
      <c r="L232" s="1491">
        <v>4600</v>
      </c>
      <c r="M232" s="1491">
        <v>4927</v>
      </c>
      <c r="N232" s="1491">
        <v>5279</v>
      </c>
      <c r="O232" s="1493"/>
      <c r="P232" s="1493"/>
      <c r="Q232" s="1493"/>
      <c r="R232" s="1493"/>
      <c r="S232" s="1492">
        <f t="shared" si="136"/>
        <v>12</v>
      </c>
      <c r="T232" s="1489" t="s">
        <v>112</v>
      </c>
      <c r="U232" s="1490">
        <f>+N232/$N$230</f>
        <v>1.3270487682252388</v>
      </c>
    </row>
    <row r="233" spans="1:21" x14ac:dyDescent="0.2">
      <c r="A233" s="1467" t="s">
        <v>113</v>
      </c>
      <c r="B233" s="1468">
        <f t="shared" si="137"/>
        <v>12</v>
      </c>
      <c r="C233" s="1491">
        <v>3380</v>
      </c>
      <c r="D233" s="1491">
        <v>3506</v>
      </c>
      <c r="E233" s="1491">
        <v>3619</v>
      </c>
      <c r="F233" s="1491">
        <v>3848</v>
      </c>
      <c r="G233" s="1491">
        <v>4102</v>
      </c>
      <c r="H233" s="1491">
        <v>4334</v>
      </c>
      <c r="I233" s="1491">
        <v>4565</v>
      </c>
      <c r="J233" s="1491">
        <v>4797</v>
      </c>
      <c r="K233" s="1491">
        <v>5029</v>
      </c>
      <c r="L233" s="1491">
        <v>5260</v>
      </c>
      <c r="M233" s="1491">
        <v>5490</v>
      </c>
      <c r="N233" s="1491">
        <v>5724</v>
      </c>
      <c r="O233" s="1493"/>
      <c r="P233" s="1493"/>
      <c r="Q233" s="1493"/>
      <c r="R233" s="1493"/>
      <c r="S233" s="1492">
        <f t="shared" si="136"/>
        <v>12</v>
      </c>
      <c r="T233" s="1489" t="s">
        <v>113</v>
      </c>
      <c r="U233" s="1490">
        <f>+N233/$N$230</f>
        <v>1.4389140271493213</v>
      </c>
    </row>
    <row r="234" spans="1:21" x14ac:dyDescent="0.2">
      <c r="A234" s="1467">
        <v>1</v>
      </c>
      <c r="B234" s="1468">
        <f t="shared" si="137"/>
        <v>7</v>
      </c>
      <c r="C234" s="1491">
        <v>1609</v>
      </c>
      <c r="D234" s="1491">
        <v>1673</v>
      </c>
      <c r="E234" s="1491">
        <v>1736</v>
      </c>
      <c r="F234" s="1491">
        <v>1766</v>
      </c>
      <c r="G234" s="1491">
        <v>1800</v>
      </c>
      <c r="H234" s="1491">
        <v>1833</v>
      </c>
      <c r="I234" s="1491">
        <v>1878</v>
      </c>
      <c r="J234" s="1491"/>
      <c r="K234" s="1491"/>
      <c r="L234" s="1491"/>
      <c r="M234" s="1491"/>
      <c r="N234" s="1491"/>
      <c r="O234" s="1493"/>
      <c r="P234" s="1493"/>
      <c r="Q234" s="1493"/>
      <c r="R234" s="1493"/>
      <c r="S234" s="1492">
        <f t="shared" si="136"/>
        <v>7</v>
      </c>
      <c r="T234" s="1489">
        <v>1</v>
      </c>
      <c r="U234" s="1490">
        <f>+I234/$N$230</f>
        <v>0.47209653092006032</v>
      </c>
    </row>
    <row r="235" spans="1:21" x14ac:dyDescent="0.2">
      <c r="A235" s="1467">
        <v>2</v>
      </c>
      <c r="B235" s="1468">
        <f t="shared" si="137"/>
        <v>8</v>
      </c>
      <c r="C235" s="1491">
        <v>1644</v>
      </c>
      <c r="D235" s="1491">
        <v>1706</v>
      </c>
      <c r="E235" s="1491">
        <v>1766</v>
      </c>
      <c r="F235" s="1491">
        <v>1833</v>
      </c>
      <c r="G235" s="1491">
        <v>1878</v>
      </c>
      <c r="H235" s="1491">
        <v>1930</v>
      </c>
      <c r="I235" s="1491">
        <v>1993</v>
      </c>
      <c r="J235" s="1491">
        <v>2051</v>
      </c>
      <c r="K235" s="1491"/>
      <c r="L235" s="1491"/>
      <c r="M235" s="1491"/>
      <c r="N235" s="1491"/>
      <c r="O235" s="1493"/>
      <c r="P235" s="1493"/>
      <c r="Q235" s="1493"/>
      <c r="R235" s="1493"/>
      <c r="S235" s="1492">
        <f t="shared" si="136"/>
        <v>8</v>
      </c>
      <c r="T235" s="1489">
        <v>2</v>
      </c>
      <c r="U235" s="1490">
        <f>+J235/$N$230</f>
        <v>0.51558572146807435</v>
      </c>
    </row>
    <row r="236" spans="1:21" x14ac:dyDescent="0.2">
      <c r="A236" s="1467">
        <v>3</v>
      </c>
      <c r="B236" s="1468">
        <f t="shared" si="137"/>
        <v>9</v>
      </c>
      <c r="C236" s="1491">
        <v>1644</v>
      </c>
      <c r="D236" s="1491">
        <v>1766</v>
      </c>
      <c r="E236" s="1491">
        <v>1833</v>
      </c>
      <c r="F236" s="1491">
        <v>1930</v>
      </c>
      <c r="G236" s="1491">
        <v>1993</v>
      </c>
      <c r="H236" s="1491">
        <v>2051</v>
      </c>
      <c r="I236" s="1491">
        <v>2110</v>
      </c>
      <c r="J236" s="1491">
        <v>2166</v>
      </c>
      <c r="K236" s="1491">
        <v>2222</v>
      </c>
      <c r="L236" s="1491"/>
      <c r="M236" s="1491"/>
      <c r="N236" s="1491"/>
      <c r="O236" s="1493"/>
      <c r="P236" s="1493"/>
      <c r="Q236" s="1493"/>
      <c r="R236" s="1493"/>
      <c r="S236" s="1492">
        <f t="shared" si="136"/>
        <v>9</v>
      </c>
      <c r="T236" s="1489">
        <v>3</v>
      </c>
      <c r="U236" s="1490">
        <f>+K236/$N$230</f>
        <v>0.55857214680744094</v>
      </c>
    </row>
    <row r="237" spans="1:21" x14ac:dyDescent="0.2">
      <c r="A237" s="1467">
        <v>4</v>
      </c>
      <c r="B237" s="1468">
        <f t="shared" si="137"/>
        <v>11</v>
      </c>
      <c r="C237" s="1491">
        <v>1674</v>
      </c>
      <c r="D237" s="1491">
        <v>1736</v>
      </c>
      <c r="E237" s="1491">
        <v>1800</v>
      </c>
      <c r="F237" s="1491">
        <v>1878</v>
      </c>
      <c r="G237" s="1491">
        <v>1993</v>
      </c>
      <c r="H237" s="1491">
        <v>2051</v>
      </c>
      <c r="I237" s="1491">
        <v>2110</v>
      </c>
      <c r="J237" s="1491">
        <v>2166</v>
      </c>
      <c r="K237" s="1491">
        <v>2222</v>
      </c>
      <c r="L237" s="1491">
        <v>2277</v>
      </c>
      <c r="M237" s="1491">
        <v>2331</v>
      </c>
      <c r="N237" s="1491"/>
      <c r="O237" s="1493"/>
      <c r="P237" s="1493"/>
      <c r="Q237" s="1493"/>
      <c r="R237" s="1493"/>
      <c r="S237" s="1492">
        <f t="shared" si="136"/>
        <v>11</v>
      </c>
      <c r="T237" s="1489">
        <v>4</v>
      </c>
      <c r="U237" s="1490">
        <f>+M237/$N$230</f>
        <v>0.58597285067873306</v>
      </c>
    </row>
    <row r="238" spans="1:21" x14ac:dyDescent="0.2">
      <c r="A238" s="1467">
        <v>5</v>
      </c>
      <c r="B238" s="1468">
        <f t="shared" si="137"/>
        <v>12</v>
      </c>
      <c r="C238" s="1491">
        <v>1706</v>
      </c>
      <c r="D238" s="1491">
        <v>1736</v>
      </c>
      <c r="E238" s="1491">
        <v>1833</v>
      </c>
      <c r="F238" s="1491">
        <v>1930</v>
      </c>
      <c r="G238" s="1491">
        <v>2051</v>
      </c>
      <c r="H238" s="1491">
        <v>2110</v>
      </c>
      <c r="I238" s="1491">
        <v>2166</v>
      </c>
      <c r="J238" s="1491">
        <v>2222</v>
      </c>
      <c r="K238" s="1491">
        <v>2277</v>
      </c>
      <c r="L238" s="1491">
        <v>2331</v>
      </c>
      <c r="M238" s="1491">
        <v>2386</v>
      </c>
      <c r="N238" s="1491">
        <v>2449</v>
      </c>
      <c r="O238" s="1493"/>
      <c r="P238" s="1493"/>
      <c r="Q238" s="1493"/>
      <c r="R238" s="1493"/>
      <c r="S238" s="1492">
        <f t="shared" si="136"/>
        <v>12</v>
      </c>
      <c r="T238" s="1489">
        <v>5</v>
      </c>
      <c r="U238" s="1490">
        <f>+N238/$N$230</f>
        <v>0.6156359979889392</v>
      </c>
    </row>
    <row r="239" spans="1:21" x14ac:dyDescent="0.2">
      <c r="A239" s="1467">
        <v>6</v>
      </c>
      <c r="B239" s="1468">
        <f t="shared" si="137"/>
        <v>11</v>
      </c>
      <c r="C239" s="1491">
        <v>1766</v>
      </c>
      <c r="D239" s="1491">
        <v>1833</v>
      </c>
      <c r="E239" s="1491">
        <v>2051</v>
      </c>
      <c r="F239" s="1491">
        <v>2166</v>
      </c>
      <c r="G239" s="1491">
        <v>2222</v>
      </c>
      <c r="H239" s="1491">
        <v>2277</v>
      </c>
      <c r="I239" s="1491">
        <v>2331</v>
      </c>
      <c r="J239" s="1491">
        <v>2386</v>
      </c>
      <c r="K239" s="1491">
        <v>2449</v>
      </c>
      <c r="L239" s="1491">
        <v>2510</v>
      </c>
      <c r="M239" s="1491">
        <v>2566</v>
      </c>
      <c r="N239" s="1491"/>
      <c r="O239" s="1493"/>
      <c r="P239" s="1493"/>
      <c r="Q239" s="1493"/>
      <c r="R239" s="1493"/>
      <c r="S239" s="1492">
        <f t="shared" si="136"/>
        <v>11</v>
      </c>
      <c r="T239" s="1489">
        <v>6</v>
      </c>
      <c r="U239" s="1490">
        <f>+M239/$N$230</f>
        <v>0.64504776269482156</v>
      </c>
    </row>
    <row r="240" spans="1:21" x14ac:dyDescent="0.2">
      <c r="A240" s="1467">
        <v>7</v>
      </c>
      <c r="B240" s="1468">
        <f t="shared" si="137"/>
        <v>12</v>
      </c>
      <c r="C240" s="1491">
        <v>1878</v>
      </c>
      <c r="D240" s="1491">
        <v>1930</v>
      </c>
      <c r="E240" s="1491">
        <v>2051</v>
      </c>
      <c r="F240" s="1491">
        <v>2277</v>
      </c>
      <c r="G240" s="1491">
        <v>2386</v>
      </c>
      <c r="H240" s="1491">
        <v>2449</v>
      </c>
      <c r="I240" s="1491">
        <v>2510</v>
      </c>
      <c r="J240" s="1491">
        <v>2566</v>
      </c>
      <c r="K240" s="1491">
        <v>2628</v>
      </c>
      <c r="L240" s="1491">
        <v>2691</v>
      </c>
      <c r="M240" s="1491">
        <v>2755</v>
      </c>
      <c r="N240" s="1491">
        <v>2830</v>
      </c>
      <c r="O240" s="1493"/>
      <c r="P240" s="1493"/>
      <c r="Q240" s="1493"/>
      <c r="R240" s="1493"/>
      <c r="S240" s="1492">
        <f t="shared" si="136"/>
        <v>12</v>
      </c>
      <c r="T240" s="1489">
        <v>7</v>
      </c>
      <c r="U240" s="1490">
        <f>+N240/$N$230</f>
        <v>0.71141277023629967</v>
      </c>
    </row>
    <row r="241" spans="1:21" x14ac:dyDescent="0.2">
      <c r="A241" s="1467">
        <v>8</v>
      </c>
      <c r="B241" s="1468">
        <f t="shared" si="137"/>
        <v>13</v>
      </c>
      <c r="C241" s="1491">
        <v>2110</v>
      </c>
      <c r="D241" s="1491">
        <v>2166</v>
      </c>
      <c r="E241" s="1491">
        <v>2277</v>
      </c>
      <c r="F241" s="1491">
        <v>2510</v>
      </c>
      <c r="G241" s="1491">
        <v>2628</v>
      </c>
      <c r="H241" s="1491">
        <v>2755</v>
      </c>
      <c r="I241" s="1491">
        <v>2830</v>
      </c>
      <c r="J241" s="1491">
        <v>2897</v>
      </c>
      <c r="K241" s="1491">
        <v>2956</v>
      </c>
      <c r="L241" s="1491">
        <v>3021</v>
      </c>
      <c r="M241" s="1491">
        <v>3085</v>
      </c>
      <c r="N241" s="1491">
        <v>3145</v>
      </c>
      <c r="O241" s="1491">
        <v>3201</v>
      </c>
      <c r="P241" s="1493"/>
      <c r="Q241" s="1493"/>
      <c r="R241" s="1493"/>
      <c r="S241" s="1492">
        <f t="shared" si="136"/>
        <v>13</v>
      </c>
      <c r="T241" s="1489">
        <v>8</v>
      </c>
      <c r="U241" s="1490">
        <f>+O241/$N$230</f>
        <v>0.80467571644042235</v>
      </c>
    </row>
    <row r="242" spans="1:21" x14ac:dyDescent="0.2">
      <c r="A242" s="1467">
        <v>9</v>
      </c>
      <c r="B242" s="1468">
        <f t="shared" si="137"/>
        <v>10</v>
      </c>
      <c r="C242" s="1491">
        <v>2386</v>
      </c>
      <c r="D242" s="1491">
        <v>2510</v>
      </c>
      <c r="E242" s="1491">
        <v>2755</v>
      </c>
      <c r="F242" s="1491">
        <v>2897</v>
      </c>
      <c r="G242" s="1491">
        <v>3021</v>
      </c>
      <c r="H242" s="1491">
        <v>3145</v>
      </c>
      <c r="I242" s="1491">
        <v>3263</v>
      </c>
      <c r="J242" s="1491">
        <v>3380</v>
      </c>
      <c r="K242" s="1491">
        <v>3506</v>
      </c>
      <c r="L242" s="1491">
        <v>3619</v>
      </c>
      <c r="M242" s="1491"/>
      <c r="N242" s="1491"/>
      <c r="O242" s="1493"/>
      <c r="P242" s="1493"/>
      <c r="Q242" s="1493"/>
      <c r="R242" s="1493"/>
      <c r="S242" s="1492">
        <f t="shared" si="136"/>
        <v>10</v>
      </c>
      <c r="T242" s="1489">
        <v>9</v>
      </c>
      <c r="U242" s="1490">
        <f>+K242/$N$230</f>
        <v>0.88134741075917544</v>
      </c>
    </row>
    <row r="243" spans="1:21" x14ac:dyDescent="0.2">
      <c r="A243" s="1467">
        <v>10</v>
      </c>
      <c r="B243" s="1468">
        <f t="shared" si="137"/>
        <v>13</v>
      </c>
      <c r="C243" s="1491">
        <v>2386</v>
      </c>
      <c r="D243" s="1491">
        <v>2628</v>
      </c>
      <c r="E243" s="1491">
        <v>2755</v>
      </c>
      <c r="F243" s="1491">
        <v>2897</v>
      </c>
      <c r="G243" s="1491">
        <v>3021</v>
      </c>
      <c r="H243" s="1491">
        <v>3145</v>
      </c>
      <c r="I243" s="1491">
        <v>3263</v>
      </c>
      <c r="J243" s="1491">
        <v>3380</v>
      </c>
      <c r="K243" s="1491">
        <v>3506</v>
      </c>
      <c r="L243" s="1491">
        <v>3619</v>
      </c>
      <c r="M243" s="1491">
        <v>3735</v>
      </c>
      <c r="N243" s="1491">
        <v>3848</v>
      </c>
      <c r="O243" s="1491">
        <v>3978</v>
      </c>
      <c r="P243" s="1491"/>
      <c r="Q243" s="1491"/>
      <c r="R243" s="1491"/>
      <c r="S243" s="1492">
        <f t="shared" si="136"/>
        <v>13</v>
      </c>
      <c r="T243" s="1489">
        <v>10</v>
      </c>
      <c r="U243" s="1490">
        <f>+O243/$N$230</f>
        <v>1</v>
      </c>
    </row>
    <row r="244" spans="1:21" x14ac:dyDescent="0.2">
      <c r="A244" s="1467">
        <v>11</v>
      </c>
      <c r="B244" s="1468">
        <f t="shared" si="137"/>
        <v>16</v>
      </c>
      <c r="C244" s="1491">
        <v>2510</v>
      </c>
      <c r="D244" s="1491">
        <v>2628</v>
      </c>
      <c r="E244" s="1491">
        <v>2759</v>
      </c>
      <c r="F244" s="1491">
        <v>2899</v>
      </c>
      <c r="G244" s="1491">
        <v>3030</v>
      </c>
      <c r="H244" s="1491">
        <v>3162</v>
      </c>
      <c r="I244" s="1491">
        <v>3295</v>
      </c>
      <c r="J244" s="1491">
        <v>3506</v>
      </c>
      <c r="K244" s="1491">
        <v>3648</v>
      </c>
      <c r="L244" s="1491">
        <v>3789</v>
      </c>
      <c r="M244" s="1491">
        <v>3931</v>
      </c>
      <c r="N244" s="1491">
        <v>4073</v>
      </c>
      <c r="O244" s="1491">
        <v>4215</v>
      </c>
      <c r="P244" s="1491">
        <v>4356</v>
      </c>
      <c r="Q244" s="1491">
        <v>4499</v>
      </c>
      <c r="R244" s="1491">
        <v>4639</v>
      </c>
      <c r="S244" s="1492">
        <f t="shared" si="136"/>
        <v>16</v>
      </c>
      <c r="T244" s="1489">
        <v>11</v>
      </c>
      <c r="U244" s="1490">
        <f>+R244/$N$230</f>
        <v>1.1661639014580192</v>
      </c>
    </row>
    <row r="245" spans="1:21" x14ac:dyDescent="0.2">
      <c r="A245" s="1467">
        <v>12</v>
      </c>
      <c r="B245" s="1468">
        <f t="shared" si="137"/>
        <v>16</v>
      </c>
      <c r="C245" s="1491">
        <v>3380</v>
      </c>
      <c r="D245" s="1491">
        <v>3506</v>
      </c>
      <c r="E245" s="1491">
        <v>3619</v>
      </c>
      <c r="F245" s="1491">
        <v>3735</v>
      </c>
      <c r="G245" s="1491">
        <v>3848</v>
      </c>
      <c r="H245" s="1491">
        <v>3978</v>
      </c>
      <c r="I245" s="1491">
        <v>4227</v>
      </c>
      <c r="J245" s="1491">
        <v>4344</v>
      </c>
      <c r="K245" s="1491">
        <v>4464</v>
      </c>
      <c r="L245" s="1491">
        <v>4579</v>
      </c>
      <c r="M245" s="1491">
        <v>4701</v>
      </c>
      <c r="N245" s="1491">
        <v>4820</v>
      </c>
      <c r="O245" s="1491">
        <v>4936</v>
      </c>
      <c r="P245" s="1491">
        <v>5054</v>
      </c>
      <c r="Q245" s="1491">
        <v>5203</v>
      </c>
      <c r="R245" s="1491">
        <v>5279</v>
      </c>
      <c r="S245" s="1492">
        <f t="shared" si="136"/>
        <v>16</v>
      </c>
      <c r="T245" s="1489">
        <v>12</v>
      </c>
      <c r="U245" s="1490">
        <f>+R245/$N$230</f>
        <v>1.3270487682252388</v>
      </c>
    </row>
    <row r="246" spans="1:21" x14ac:dyDescent="0.2">
      <c r="A246" s="1467">
        <v>13</v>
      </c>
      <c r="B246" s="1468">
        <f t="shared" si="137"/>
        <v>13</v>
      </c>
      <c r="C246" s="1491">
        <v>4102</v>
      </c>
      <c r="D246" s="1491">
        <v>4227</v>
      </c>
      <c r="E246" s="1491">
        <v>4344</v>
      </c>
      <c r="F246" s="1491">
        <v>4464</v>
      </c>
      <c r="G246" s="1491">
        <v>4579</v>
      </c>
      <c r="H246" s="1491">
        <v>4820</v>
      </c>
      <c r="I246" s="1491">
        <v>4936</v>
      </c>
      <c r="J246" s="1491">
        <v>5054</v>
      </c>
      <c r="K246" s="1491">
        <v>5203</v>
      </c>
      <c r="L246" s="1491">
        <v>5353</v>
      </c>
      <c r="M246" s="1491">
        <v>5502</v>
      </c>
      <c r="N246" s="1491">
        <v>5652</v>
      </c>
      <c r="O246" s="1491">
        <v>5724</v>
      </c>
      <c r="P246" s="1491"/>
      <c r="Q246" s="1491"/>
      <c r="R246" s="1491"/>
      <c r="S246" s="1492">
        <f t="shared" si="136"/>
        <v>13</v>
      </c>
      <c r="T246" s="1489">
        <v>13</v>
      </c>
      <c r="U246" s="1490">
        <f>+O246/$N$230</f>
        <v>1.4389140271493213</v>
      </c>
    </row>
    <row r="247" spans="1:21" x14ac:dyDescent="0.2">
      <c r="A247" s="1467">
        <v>14</v>
      </c>
      <c r="B247" s="1468">
        <f t="shared" si="137"/>
        <v>11</v>
      </c>
      <c r="C247" s="1491">
        <v>4701</v>
      </c>
      <c r="D247" s="1491">
        <v>4820</v>
      </c>
      <c r="E247" s="1491">
        <v>5054</v>
      </c>
      <c r="F247" s="1491">
        <v>5203</v>
      </c>
      <c r="G247" s="1491">
        <v>5353</v>
      </c>
      <c r="H247" s="1491">
        <v>5502</v>
      </c>
      <c r="I247" s="1491">
        <v>5652</v>
      </c>
      <c r="J247" s="1491">
        <v>5803</v>
      </c>
      <c r="K247" s="1491">
        <v>5961</v>
      </c>
      <c r="L247" s="1491">
        <v>6123</v>
      </c>
      <c r="M247" s="1491">
        <v>6290</v>
      </c>
      <c r="N247" s="1491"/>
      <c r="O247" s="1493"/>
      <c r="P247" s="1493"/>
      <c r="Q247" s="1493"/>
      <c r="R247" s="1493"/>
      <c r="S247" s="1492">
        <f t="shared" si="136"/>
        <v>11</v>
      </c>
      <c r="T247" s="1489">
        <v>14</v>
      </c>
      <c r="U247" s="1490">
        <f>+M247/$N$230</f>
        <v>1.5811965811965811</v>
      </c>
    </row>
    <row r="248" spans="1:21" x14ac:dyDescent="0.2">
      <c r="A248" s="1467">
        <v>15</v>
      </c>
      <c r="B248" s="1468">
        <f t="shared" si="137"/>
        <v>12</v>
      </c>
      <c r="C248" s="1491">
        <v>4936</v>
      </c>
      <c r="D248" s="1491">
        <v>5054</v>
      </c>
      <c r="E248" s="1491">
        <v>5203</v>
      </c>
      <c r="F248" s="1491">
        <v>5502</v>
      </c>
      <c r="G248" s="1491">
        <v>5652</v>
      </c>
      <c r="H248" s="1491">
        <v>5803</v>
      </c>
      <c r="I248" s="1491">
        <v>5961</v>
      </c>
      <c r="J248" s="1491">
        <v>6123</v>
      </c>
      <c r="K248" s="1491">
        <v>6290</v>
      </c>
      <c r="L248" s="1491">
        <v>6490</v>
      </c>
      <c r="M248" s="1491">
        <v>6698</v>
      </c>
      <c r="N248" s="1491">
        <v>6910</v>
      </c>
      <c r="O248" s="1493"/>
      <c r="P248" s="1493"/>
      <c r="Q248" s="1493"/>
      <c r="R248" s="1493"/>
      <c r="S248" s="1492">
        <f t="shared" si="136"/>
        <v>12</v>
      </c>
      <c r="T248" s="1489">
        <v>15</v>
      </c>
      <c r="U248" s="1490">
        <f>+N248/$N$230</f>
        <v>1.7370537958773253</v>
      </c>
    </row>
    <row r="249" spans="1:21" x14ac:dyDescent="0.2">
      <c r="A249" s="1467">
        <v>16</v>
      </c>
      <c r="B249" s="1468">
        <f t="shared" si="137"/>
        <v>12</v>
      </c>
      <c r="C249" s="1491">
        <v>5353</v>
      </c>
      <c r="D249" s="1491">
        <v>5502</v>
      </c>
      <c r="E249" s="1491">
        <v>5652</v>
      </c>
      <c r="F249" s="1491">
        <v>5961</v>
      </c>
      <c r="G249" s="1491">
        <v>6123</v>
      </c>
      <c r="H249" s="1491">
        <v>6290</v>
      </c>
      <c r="I249" s="1491">
        <v>6490</v>
      </c>
      <c r="J249" s="1491">
        <v>6698</v>
      </c>
      <c r="K249" s="1491">
        <v>6910</v>
      </c>
      <c r="L249" s="1491">
        <v>7132</v>
      </c>
      <c r="M249" s="1491">
        <v>7357</v>
      </c>
      <c r="N249" s="1491">
        <v>7593</v>
      </c>
      <c r="O249" s="1493"/>
      <c r="P249" s="1493"/>
      <c r="Q249" s="1493"/>
      <c r="R249" s="1493"/>
      <c r="S249" s="1492">
        <f t="shared" si="136"/>
        <v>12</v>
      </c>
      <c r="T249" s="1489">
        <v>16</v>
      </c>
      <c r="U249" s="1490">
        <f>+N249/$N$230</f>
        <v>1.9087481146304677</v>
      </c>
    </row>
    <row r="250" spans="1:21" x14ac:dyDescent="0.2">
      <c r="A250" s="1467">
        <v>17</v>
      </c>
      <c r="B250" s="1468">
        <f t="shared" si="137"/>
        <v>12</v>
      </c>
      <c r="C250" s="1491">
        <v>5803</v>
      </c>
      <c r="D250" s="1491">
        <v>5961</v>
      </c>
      <c r="E250" s="1491">
        <v>6123</v>
      </c>
      <c r="F250" s="1491">
        <v>6490</v>
      </c>
      <c r="G250" s="1491">
        <v>6698</v>
      </c>
      <c r="H250" s="1491">
        <v>6910</v>
      </c>
      <c r="I250" s="1491">
        <v>7132</v>
      </c>
      <c r="J250" s="1491">
        <v>7357</v>
      </c>
      <c r="K250" s="1491">
        <v>7593</v>
      </c>
      <c r="L250" s="1491">
        <v>7836</v>
      </c>
      <c r="M250" s="1491">
        <v>8086</v>
      </c>
      <c r="N250" s="1491">
        <v>8343</v>
      </c>
      <c r="O250" s="1493"/>
      <c r="P250" s="1493"/>
      <c r="Q250" s="1493"/>
      <c r="R250" s="1493"/>
      <c r="S250" s="1492">
        <f t="shared" si="136"/>
        <v>12</v>
      </c>
      <c r="T250" s="1489">
        <v>17</v>
      </c>
      <c r="U250" s="1490">
        <f>+N250/$N$230</f>
        <v>2.0972850678733033</v>
      </c>
    </row>
    <row r="251" spans="1:21" x14ac:dyDescent="0.2">
      <c r="A251" s="1467" t="s">
        <v>142</v>
      </c>
      <c r="B251" s="1468">
        <f t="shared" si="137"/>
        <v>9</v>
      </c>
      <c r="C251" s="1494">
        <v>1524.6</v>
      </c>
      <c r="D251" s="1494">
        <v>1566.56</v>
      </c>
      <c r="E251" s="1491">
        <v>1609</v>
      </c>
      <c r="F251" s="1491">
        <v>1673</v>
      </c>
      <c r="G251" s="1491">
        <v>1736</v>
      </c>
      <c r="H251" s="1491">
        <v>1766</v>
      </c>
      <c r="I251" s="1491">
        <v>1800</v>
      </c>
      <c r="J251" s="1491">
        <v>1833</v>
      </c>
      <c r="K251" s="1491">
        <v>1878</v>
      </c>
      <c r="L251" s="1493"/>
      <c r="M251" s="1493"/>
      <c r="N251" s="1493"/>
      <c r="O251" s="1493"/>
      <c r="P251" s="1493"/>
      <c r="Q251" s="1493"/>
      <c r="R251" s="1493"/>
      <c r="S251" s="1492">
        <f t="shared" si="136"/>
        <v>9</v>
      </c>
      <c r="T251" s="1489" t="s">
        <v>142</v>
      </c>
      <c r="U251" s="1490">
        <f>+K251/$N$230</f>
        <v>0.47209653092006032</v>
      </c>
    </row>
    <row r="252" spans="1:21" x14ac:dyDescent="0.2">
      <c r="A252" s="1467" t="s">
        <v>143</v>
      </c>
      <c r="B252" s="1468">
        <f t="shared" si="137"/>
        <v>8</v>
      </c>
      <c r="C252" s="1491">
        <v>1644</v>
      </c>
      <c r="D252" s="1491">
        <v>1706</v>
      </c>
      <c r="E252" s="1491">
        <v>1766</v>
      </c>
      <c r="F252" s="1491">
        <v>1833</v>
      </c>
      <c r="G252" s="1491">
        <v>1878</v>
      </c>
      <c r="H252" s="1491">
        <v>1930</v>
      </c>
      <c r="I252" s="1491">
        <v>1993</v>
      </c>
      <c r="J252" s="1491">
        <v>2051</v>
      </c>
      <c r="K252" s="1491"/>
      <c r="L252" s="1493"/>
      <c r="M252" s="1493"/>
      <c r="N252" s="1493"/>
      <c r="O252" s="1493"/>
      <c r="P252" s="1493"/>
      <c r="Q252" s="1493"/>
      <c r="R252" s="1493"/>
      <c r="S252" s="1492">
        <f t="shared" si="136"/>
        <v>8</v>
      </c>
      <c r="T252" s="1489" t="s">
        <v>143</v>
      </c>
      <c r="U252" s="1490">
        <f>+J252/$N$230</f>
        <v>0.51558572146807435</v>
      </c>
    </row>
    <row r="253" spans="1:21" x14ac:dyDescent="0.2">
      <c r="A253" s="1467" t="s">
        <v>144</v>
      </c>
      <c r="B253" s="1468">
        <f t="shared" si="137"/>
        <v>9</v>
      </c>
      <c r="C253" s="1491">
        <v>1644</v>
      </c>
      <c r="D253" s="1491">
        <v>1766</v>
      </c>
      <c r="E253" s="1491">
        <v>1833</v>
      </c>
      <c r="F253" s="1491">
        <v>1930</v>
      </c>
      <c r="G253" s="1491">
        <v>1993</v>
      </c>
      <c r="H253" s="1491">
        <v>2051</v>
      </c>
      <c r="I253" s="1491">
        <v>2110</v>
      </c>
      <c r="J253" s="1491">
        <v>2166</v>
      </c>
      <c r="K253" s="1491">
        <v>2222</v>
      </c>
      <c r="L253" s="1493"/>
      <c r="M253" s="1493"/>
      <c r="N253" s="1493"/>
      <c r="O253" s="1493"/>
      <c r="P253" s="1493"/>
      <c r="Q253" s="1493"/>
      <c r="R253" s="1493"/>
      <c r="S253" s="1492">
        <f t="shared" si="136"/>
        <v>9</v>
      </c>
      <c r="T253" s="1489" t="s">
        <v>144</v>
      </c>
      <c r="U253" s="1490">
        <f>+I253/$N$230</f>
        <v>0.53041729512317748</v>
      </c>
    </row>
    <row r="254" spans="1:21" x14ac:dyDescent="0.2">
      <c r="A254" s="1476" t="s">
        <v>419</v>
      </c>
      <c r="B254" s="1477">
        <f t="shared" si="137"/>
        <v>1</v>
      </c>
      <c r="C254" s="1675">
        <v>1314</v>
      </c>
      <c r="D254" s="1495"/>
      <c r="E254" s="1495"/>
      <c r="F254" s="1495"/>
      <c r="G254" s="1495"/>
      <c r="H254" s="1495"/>
      <c r="I254" s="1495"/>
      <c r="J254" s="1495"/>
      <c r="K254" s="1495"/>
      <c r="L254" s="1495"/>
      <c r="M254" s="1495"/>
      <c r="N254" s="1495"/>
      <c r="O254" s="1495"/>
      <c r="P254" s="1495"/>
      <c r="Q254" s="1495"/>
      <c r="R254" s="1495"/>
      <c r="S254" s="1496">
        <f t="shared" si="136"/>
        <v>1</v>
      </c>
      <c r="T254" s="1489" t="s">
        <v>419</v>
      </c>
      <c r="U254" s="1490">
        <f>+C254/$N$230</f>
        <v>0.33031674208144796</v>
      </c>
    </row>
  </sheetData>
  <sheetProtection algorithmName="SHA-512" hashValue="8BIcDC++7gIZ3i43MjS78D1Cgd7S1hOiGqwALmq2BwFa5HAdemRNzjSrRX0bObjTHzvd53bYVnJZ9iCvclk+Rw==" saltValue="aTdFEfjB+Ct9HETX5AQgOw==" spinCount="100000" sheet="1" objects="1" scenarios="1"/>
  <phoneticPr fontId="0" type="noConversion"/>
  <printOptions headings="1" gridLines="1"/>
  <pageMargins left="0.74803149606299213" right="0.74803149606299213" top="0.98425196850393704" bottom="0.98425196850393704" header="0.51181102362204722" footer="0.51181102362204722"/>
  <pageSetup paperSize="9" scale="22" orientation="portrait" r:id="rId1"/>
  <headerFooter alignWithMargins="0">
    <oddHeader>&amp;L&amp;"Arial,Vet"&amp;9&amp;F&amp;R&amp;"Arial,Vet"&amp;9&amp;A</oddHeader>
    <oddFooter>&amp;L&amp;"Arial,Vet"&amp;9be.keizer@wxs.nl&amp;C&amp;"Arial,Vet"&amp;9pagina &amp;P&amp;R&amp;"Arial,Vet"&amp;9&amp;D</oddFooter>
  </headerFooter>
  <rowBreaks count="1" manualBreakCount="1">
    <brk id="60"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167"/>
  <sheetViews>
    <sheetView tabSelected="1" zoomScale="80" zoomScaleNormal="80" zoomScaleSheetLayoutView="85" zoomScalePageLayoutView="60" workbookViewId="0">
      <selection activeCell="B2" sqref="B2"/>
    </sheetView>
  </sheetViews>
  <sheetFormatPr defaultRowHeight="12.75" x14ac:dyDescent="0.2"/>
  <cols>
    <col min="1" max="1" width="3.7109375" style="165" customWidth="1"/>
    <col min="2" max="3" width="2.7109375" style="165" customWidth="1"/>
    <col min="4" max="4" width="50.85546875" style="165" customWidth="1"/>
    <col min="5" max="5" width="9.5703125" style="165" customWidth="1"/>
    <col min="6" max="12" width="14.85546875" style="173" customWidth="1"/>
    <col min="13" max="14" width="2.7109375" style="165" customWidth="1"/>
    <col min="15" max="16384" width="9.140625" style="165"/>
  </cols>
  <sheetData>
    <row r="2" spans="2:14" x14ac:dyDescent="0.2">
      <c r="B2" s="931"/>
      <c r="C2" s="19"/>
      <c r="D2" s="19"/>
      <c r="E2" s="19"/>
      <c r="F2" s="174"/>
      <c r="G2" s="174"/>
      <c r="H2" s="174"/>
      <c r="I2" s="174"/>
      <c r="J2" s="174"/>
      <c r="K2" s="174"/>
      <c r="L2" s="174"/>
      <c r="M2" s="19"/>
      <c r="N2" s="20"/>
    </row>
    <row r="3" spans="2:14" x14ac:dyDescent="0.2">
      <c r="B3" s="21"/>
      <c r="C3" s="22"/>
      <c r="D3" s="23"/>
      <c r="E3" s="22"/>
      <c r="F3" s="24"/>
      <c r="G3" s="24"/>
      <c r="H3" s="24"/>
      <c r="I3" s="24"/>
      <c r="J3" s="24"/>
      <c r="K3" s="24"/>
      <c r="L3" s="24"/>
      <c r="M3" s="22"/>
      <c r="N3" s="25"/>
    </row>
    <row r="4" spans="2:14" s="168" customFormat="1" ht="18.75" x14ac:dyDescent="0.3">
      <c r="B4" s="175"/>
      <c r="C4" s="942" t="s">
        <v>27</v>
      </c>
      <c r="D4" s="177"/>
      <c r="E4" s="177"/>
      <c r="F4" s="178"/>
      <c r="G4" s="178"/>
      <c r="H4" s="178"/>
      <c r="I4" s="178"/>
      <c r="J4" s="178"/>
      <c r="K4" s="178"/>
      <c r="L4" s="178"/>
      <c r="M4" s="177"/>
      <c r="N4" s="179"/>
    </row>
    <row r="5" spans="2:14" s="169" customFormat="1" ht="18.75" x14ac:dyDescent="0.3">
      <c r="B5" s="26"/>
      <c r="C5" s="27" t="str">
        <f>G10</f>
        <v xml:space="preserve">SWV VO </v>
      </c>
      <c r="D5" s="58"/>
      <c r="E5" s="27"/>
      <c r="F5" s="180"/>
      <c r="G5" s="180"/>
      <c r="H5" s="180"/>
      <c r="I5" s="180"/>
      <c r="J5" s="180"/>
      <c r="K5" s="180"/>
      <c r="L5" s="180"/>
      <c r="M5" s="27"/>
      <c r="N5" s="28"/>
    </row>
    <row r="6" spans="2:14" x14ac:dyDescent="0.2">
      <c r="B6" s="21"/>
      <c r="C6" s="22"/>
      <c r="D6" s="23"/>
      <c r="E6" s="22"/>
      <c r="F6" s="24"/>
      <c r="G6" s="24"/>
      <c r="H6" s="24"/>
      <c r="I6" s="24"/>
      <c r="J6" s="24"/>
      <c r="K6" s="24"/>
      <c r="L6" s="24"/>
      <c r="M6" s="22"/>
      <c r="N6" s="25"/>
    </row>
    <row r="7" spans="2:14" x14ac:dyDescent="0.2">
      <c r="B7" s="21"/>
      <c r="C7" s="22"/>
      <c r="D7" s="23"/>
      <c r="E7" s="22"/>
      <c r="F7" s="24"/>
      <c r="G7" s="24"/>
      <c r="H7" s="24"/>
      <c r="I7" s="24"/>
      <c r="J7" s="24"/>
      <c r="K7" s="24"/>
      <c r="L7" s="24"/>
      <c r="M7" s="22"/>
      <c r="N7" s="25"/>
    </row>
    <row r="8" spans="2:14" x14ac:dyDescent="0.2">
      <c r="B8" s="21"/>
      <c r="C8" s="22"/>
      <c r="D8" s="23"/>
      <c r="E8" s="22"/>
      <c r="F8" s="24"/>
      <c r="G8" s="24"/>
      <c r="H8" s="24"/>
      <c r="I8" s="24"/>
      <c r="J8" s="24"/>
      <c r="K8" s="24"/>
      <c r="L8" s="24"/>
      <c r="M8" s="22"/>
      <c r="N8" s="25"/>
    </row>
    <row r="9" spans="2:14" x14ac:dyDescent="0.2">
      <c r="B9" s="21"/>
      <c r="C9" s="35"/>
      <c r="D9" s="37"/>
      <c r="E9" s="35"/>
      <c r="F9" s="35"/>
      <c r="G9" s="186"/>
      <c r="H9" s="186"/>
      <c r="I9" s="186"/>
      <c r="J9" s="186"/>
      <c r="K9" s="186"/>
      <c r="L9" s="186"/>
      <c r="M9" s="35"/>
      <c r="N9" s="25"/>
    </row>
    <row r="10" spans="2:14" x14ac:dyDescent="0.2">
      <c r="B10" s="21"/>
      <c r="C10" s="35"/>
      <c r="D10" s="187" t="s">
        <v>379</v>
      </c>
      <c r="E10" s="35"/>
      <c r="F10" s="901"/>
      <c r="G10" s="1258" t="s">
        <v>985</v>
      </c>
      <c r="H10" s="1259"/>
      <c r="I10" s="901"/>
      <c r="J10" s="188"/>
      <c r="K10" s="188"/>
      <c r="L10" s="188"/>
      <c r="M10" s="35"/>
      <c r="N10" s="25"/>
    </row>
    <row r="11" spans="2:14" x14ac:dyDescent="0.2">
      <c r="B11" s="21"/>
      <c r="C11" s="35"/>
      <c r="D11" s="187" t="s">
        <v>94</v>
      </c>
      <c r="E11" s="35"/>
      <c r="F11" s="901"/>
      <c r="G11" s="641" t="s">
        <v>986</v>
      </c>
      <c r="H11" s="35"/>
      <c r="I11" s="901"/>
      <c r="J11" s="188"/>
      <c r="K11" s="188"/>
      <c r="L11" s="188"/>
      <c r="M11" s="35"/>
      <c r="N11" s="25"/>
    </row>
    <row r="12" spans="2:14" x14ac:dyDescent="0.2">
      <c r="B12" s="21"/>
      <c r="C12" s="35"/>
      <c r="D12" s="35"/>
      <c r="E12" s="35"/>
      <c r="F12" s="35"/>
      <c r="G12" s="35"/>
      <c r="H12" s="35"/>
      <c r="I12" s="35"/>
      <c r="J12" s="35"/>
      <c r="K12" s="35"/>
      <c r="L12" s="35"/>
      <c r="M12" s="35"/>
      <c r="N12" s="25"/>
    </row>
    <row r="13" spans="2:14" x14ac:dyDescent="0.2">
      <c r="B13" s="21"/>
      <c r="C13" s="22"/>
      <c r="D13" s="23"/>
      <c r="E13" s="22"/>
      <c r="F13" s="24"/>
      <c r="G13" s="24"/>
      <c r="H13" s="24"/>
      <c r="I13" s="24"/>
      <c r="J13" s="24"/>
      <c r="K13" s="24"/>
      <c r="L13" s="24"/>
      <c r="M13" s="22"/>
      <c r="N13" s="25"/>
    </row>
    <row r="14" spans="2:14" x14ac:dyDescent="0.2">
      <c r="B14" s="21"/>
      <c r="C14" s="22"/>
      <c r="D14" s="23"/>
      <c r="E14" s="22"/>
      <c r="F14" s="24"/>
      <c r="G14" s="24"/>
      <c r="H14" s="24"/>
      <c r="I14" s="24"/>
      <c r="J14" s="24"/>
      <c r="K14" s="24"/>
      <c r="L14" s="24"/>
      <c r="M14" s="22"/>
      <c r="N14" s="25"/>
    </row>
    <row r="15" spans="2:14" x14ac:dyDescent="0.2">
      <c r="B15" s="21"/>
      <c r="C15" s="22"/>
      <c r="D15" s="203" t="s">
        <v>145</v>
      </c>
      <c r="E15" s="204"/>
      <c r="F15" s="596" t="str">
        <f>tab!D2</f>
        <v>2014/15</v>
      </c>
      <c r="G15" s="596" t="str">
        <f>tab!E2</f>
        <v>2015/16</v>
      </c>
      <c r="H15" s="596" t="str">
        <f>tab!F2</f>
        <v>2016/17</v>
      </c>
      <c r="I15" s="596" t="str">
        <f>tab!G2</f>
        <v>2017/18</v>
      </c>
      <c r="J15" s="596" t="str">
        <f>tab!H2</f>
        <v>2018/19</v>
      </c>
      <c r="K15" s="596" t="str">
        <f>tab!I2</f>
        <v>2019/20</v>
      </c>
      <c r="L15" s="596" t="str">
        <f>tab!J2</f>
        <v>2020/21</v>
      </c>
      <c r="M15" s="22"/>
      <c r="N15" s="25"/>
    </row>
    <row r="16" spans="2:14" x14ac:dyDescent="0.2">
      <c r="B16" s="21"/>
      <c r="C16" s="22"/>
      <c r="D16" s="203" t="s">
        <v>260</v>
      </c>
      <c r="E16" s="204"/>
      <c r="F16" s="614">
        <f>G16-1</f>
        <v>2013</v>
      </c>
      <c r="G16" s="614">
        <f>tab!D4</f>
        <v>2014</v>
      </c>
      <c r="H16" s="614">
        <f>G16+1</f>
        <v>2015</v>
      </c>
      <c r="I16" s="614">
        <f>H16+1</f>
        <v>2016</v>
      </c>
      <c r="J16" s="614">
        <f>I16+1</f>
        <v>2017</v>
      </c>
      <c r="K16" s="614">
        <f>J16+1</f>
        <v>2018</v>
      </c>
      <c r="L16" s="614">
        <f>K16+1</f>
        <v>2019</v>
      </c>
      <c r="M16" s="22"/>
      <c r="N16" s="25"/>
    </row>
    <row r="17" spans="2:16" x14ac:dyDescent="0.2">
      <c r="B17" s="21"/>
      <c r="C17" s="22"/>
      <c r="D17" s="23"/>
      <c r="E17" s="22"/>
      <c r="F17" s="24"/>
      <c r="G17" s="24"/>
      <c r="H17" s="24"/>
      <c r="I17" s="24"/>
      <c r="J17" s="24"/>
      <c r="K17" s="24"/>
      <c r="L17" s="24"/>
      <c r="M17" s="22"/>
      <c r="N17" s="25"/>
    </row>
    <row r="18" spans="2:16" x14ac:dyDescent="0.2">
      <c r="B18" s="21"/>
      <c r="C18" s="35"/>
      <c r="D18" s="35"/>
      <c r="E18" s="35"/>
      <c r="F18" s="186"/>
      <c r="G18" s="186"/>
      <c r="H18" s="186"/>
      <c r="I18" s="186"/>
      <c r="J18" s="186"/>
      <c r="K18" s="186"/>
      <c r="L18" s="186"/>
      <c r="M18" s="35"/>
      <c r="N18" s="25"/>
    </row>
    <row r="19" spans="2:16" ht="15.75" x14ac:dyDescent="0.25">
      <c r="B19" s="21"/>
      <c r="C19" s="35"/>
      <c r="D19" s="1123" t="s">
        <v>218</v>
      </c>
      <c r="E19" s="35"/>
      <c r="F19" s="186"/>
      <c r="G19" s="186"/>
      <c r="H19" s="186"/>
      <c r="I19" s="186"/>
      <c r="J19" s="186"/>
      <c r="K19" s="186"/>
      <c r="L19" s="186"/>
      <c r="M19" s="35"/>
      <c r="N19" s="25"/>
    </row>
    <row r="20" spans="2:16" ht="15.75" x14ac:dyDescent="0.25">
      <c r="B20" s="21"/>
      <c r="C20" s="35"/>
      <c r="D20" s="35"/>
      <c r="E20" s="35"/>
      <c r="F20" s="186"/>
      <c r="G20" s="1254"/>
      <c r="H20" s="1254"/>
      <c r="I20" s="1254" t="s">
        <v>777</v>
      </c>
      <c r="J20" s="186"/>
      <c r="K20" s="186"/>
      <c r="L20" s="186"/>
      <c r="M20" s="35"/>
      <c r="N20" s="25"/>
    </row>
    <row r="21" spans="2:16" x14ac:dyDescent="0.2">
      <c r="B21" s="21"/>
      <c r="C21" s="35"/>
      <c r="D21" s="191" t="s">
        <v>393</v>
      </c>
      <c r="E21" s="35"/>
      <c r="F21" s="1532">
        <v>0</v>
      </c>
      <c r="G21" s="1532">
        <v>0</v>
      </c>
      <c r="H21" s="1532">
        <v>0</v>
      </c>
      <c r="I21" s="1689">
        <f>H21</f>
        <v>0</v>
      </c>
      <c r="J21" s="1689">
        <f t="shared" ref="J21:L21" si="0">I21</f>
        <v>0</v>
      </c>
      <c r="K21" s="1689">
        <f t="shared" si="0"/>
        <v>0</v>
      </c>
      <c r="L21" s="1689">
        <f t="shared" si="0"/>
        <v>0</v>
      </c>
      <c r="M21" s="35"/>
      <c r="N21" s="25"/>
    </row>
    <row r="22" spans="2:16" x14ac:dyDescent="0.2">
      <c r="B22" s="21"/>
      <c r="C22" s="35"/>
      <c r="D22" s="191" t="s">
        <v>395</v>
      </c>
      <c r="E22" s="35"/>
      <c r="F22" s="1532">
        <v>0</v>
      </c>
      <c r="G22" s="1532">
        <v>0</v>
      </c>
      <c r="H22" s="1532">
        <v>0</v>
      </c>
      <c r="I22" s="1689">
        <f t="shared" ref="I22:L23" si="1">H22</f>
        <v>0</v>
      </c>
      <c r="J22" s="1689">
        <f t="shared" si="1"/>
        <v>0</v>
      </c>
      <c r="K22" s="1689">
        <f t="shared" si="1"/>
        <v>0</v>
      </c>
      <c r="L22" s="1689">
        <f t="shared" si="1"/>
        <v>0</v>
      </c>
      <c r="M22" s="35"/>
      <c r="N22" s="25"/>
    </row>
    <row r="23" spans="2:16" x14ac:dyDescent="0.2">
      <c r="B23" s="21"/>
      <c r="C23" s="35"/>
      <c r="D23" s="191" t="s">
        <v>396</v>
      </c>
      <c r="E23" s="35"/>
      <c r="F23" s="1532">
        <v>0</v>
      </c>
      <c r="G23" s="1532">
        <v>0</v>
      </c>
      <c r="H23" s="1532">
        <v>0</v>
      </c>
      <c r="I23" s="1689">
        <f t="shared" si="1"/>
        <v>0</v>
      </c>
      <c r="J23" s="1689">
        <f t="shared" si="1"/>
        <v>0</v>
      </c>
      <c r="K23" s="1689">
        <f t="shared" si="1"/>
        <v>0</v>
      </c>
      <c r="L23" s="1689">
        <f t="shared" si="1"/>
        <v>0</v>
      </c>
      <c r="M23" s="35"/>
      <c r="N23" s="25"/>
    </row>
    <row r="24" spans="2:16" x14ac:dyDescent="0.2">
      <c r="B24" s="21"/>
      <c r="C24" s="35"/>
      <c r="D24" s="191" t="s">
        <v>394</v>
      </c>
      <c r="E24" s="35"/>
      <c r="F24" s="1533">
        <f>SUM(F21:F23)</f>
        <v>0</v>
      </c>
      <c r="G24" s="1533">
        <f t="shared" ref="G24:L24" si="2">SUM(G21:G23)</f>
        <v>0</v>
      </c>
      <c r="H24" s="1533">
        <f t="shared" si="2"/>
        <v>0</v>
      </c>
      <c r="I24" s="1533">
        <f t="shared" si="2"/>
        <v>0</v>
      </c>
      <c r="J24" s="1533">
        <f t="shared" si="2"/>
        <v>0</v>
      </c>
      <c r="K24" s="1533">
        <f t="shared" si="2"/>
        <v>0</v>
      </c>
      <c r="L24" s="1533">
        <f t="shared" si="2"/>
        <v>0</v>
      </c>
      <c r="M24" s="35"/>
      <c r="N24" s="25"/>
    </row>
    <row r="25" spans="2:16" x14ac:dyDescent="0.2">
      <c r="B25" s="21"/>
      <c r="C25" s="35"/>
      <c r="D25" s="191" t="s">
        <v>430</v>
      </c>
      <c r="E25" s="35"/>
      <c r="F25" s="1534">
        <v>0</v>
      </c>
      <c r="G25" s="1535"/>
      <c r="H25" s="1052"/>
      <c r="I25" s="1052"/>
      <c r="J25" s="1052"/>
      <c r="K25" s="1052"/>
      <c r="L25" s="1052"/>
      <c r="M25" s="35"/>
      <c r="N25" s="25"/>
      <c r="P25" s="170"/>
    </row>
    <row r="26" spans="2:16" x14ac:dyDescent="0.2">
      <c r="B26" s="936"/>
      <c r="C26" s="35"/>
      <c r="D26" s="191"/>
      <c r="E26" s="35"/>
      <c r="F26" s="1052"/>
      <c r="G26" s="1052"/>
      <c r="H26" s="1052"/>
      <c r="I26" s="1052"/>
      <c r="J26" s="1052"/>
      <c r="K26" s="1052"/>
      <c r="L26" s="1052"/>
      <c r="M26" s="35"/>
      <c r="N26" s="25"/>
      <c r="P26" s="170"/>
    </row>
    <row r="27" spans="2:16" x14ac:dyDescent="0.2">
      <c r="B27" s="936"/>
      <c r="C27" s="35"/>
      <c r="D27" s="191" t="s">
        <v>895</v>
      </c>
      <c r="E27" s="35"/>
      <c r="F27" s="1052"/>
      <c r="G27" s="1052"/>
      <c r="H27" s="1052"/>
      <c r="I27" s="1052"/>
      <c r="J27" s="1052"/>
      <c r="K27" s="1052"/>
      <c r="L27" s="1052"/>
      <c r="M27" s="35"/>
      <c r="N27" s="25"/>
      <c r="P27" s="170"/>
    </row>
    <row r="28" spans="2:16" x14ac:dyDescent="0.2">
      <c r="B28" s="936"/>
      <c r="C28" s="35"/>
      <c r="D28" s="191" t="s">
        <v>393</v>
      </c>
      <c r="E28" s="1532">
        <v>0</v>
      </c>
      <c r="F28" s="191"/>
      <c r="G28" s="1052"/>
      <c r="H28" s="1052"/>
      <c r="I28" s="1052"/>
      <c r="J28" s="1052"/>
      <c r="K28" s="1052"/>
      <c r="L28" s="1052"/>
      <c r="M28" s="35"/>
      <c r="N28" s="25"/>
      <c r="P28" s="170"/>
    </row>
    <row r="29" spans="2:16" x14ac:dyDescent="0.2">
      <c r="B29" s="936"/>
      <c r="C29" s="35"/>
      <c r="D29" s="191" t="s">
        <v>395</v>
      </c>
      <c r="E29" s="1532">
        <v>0</v>
      </c>
      <c r="F29" s="191"/>
      <c r="G29" s="1052"/>
      <c r="H29" s="1052"/>
      <c r="I29" s="1052"/>
      <c r="J29" s="1052"/>
      <c r="K29" s="1052"/>
      <c r="L29" s="1052"/>
      <c r="M29" s="35"/>
      <c r="N29" s="25"/>
      <c r="P29" s="170"/>
    </row>
    <row r="30" spans="2:16" x14ac:dyDescent="0.2">
      <c r="B30" s="936"/>
      <c r="C30" s="35"/>
      <c r="D30" s="191" t="s">
        <v>394</v>
      </c>
      <c r="E30" s="1584">
        <v>0</v>
      </c>
      <c r="F30" s="191"/>
      <c r="G30" s="1052"/>
      <c r="H30" s="1052"/>
      <c r="I30" s="1052"/>
      <c r="J30" s="1052"/>
      <c r="K30" s="1052"/>
      <c r="L30" s="1052"/>
      <c r="M30" s="35"/>
      <c r="N30" s="25"/>
      <c r="P30" s="170"/>
    </row>
    <row r="31" spans="2:16" x14ac:dyDescent="0.2">
      <c r="B31" s="936"/>
      <c r="C31" s="35"/>
      <c r="D31" s="191"/>
      <c r="E31" s="35"/>
      <c r="F31" s="1052"/>
      <c r="G31" s="1052"/>
      <c r="H31" s="1052"/>
      <c r="I31" s="1052"/>
      <c r="J31" s="1052"/>
      <c r="K31" s="1052"/>
      <c r="L31" s="1052"/>
      <c r="M31" s="35"/>
      <c r="N31" s="25"/>
      <c r="P31" s="170"/>
    </row>
    <row r="32" spans="2:16" x14ac:dyDescent="0.2">
      <c r="B32" s="21"/>
      <c r="C32" s="35"/>
      <c r="D32" s="191" t="s">
        <v>896</v>
      </c>
      <c r="E32" s="35"/>
      <c r="F32" s="1053"/>
      <c r="G32" s="1054">
        <f>IF(E30=0,0,E28/E$30)</f>
        <v>0</v>
      </c>
      <c r="H32" s="1690">
        <f>$G32*H24</f>
        <v>0</v>
      </c>
      <c r="I32" s="1690">
        <f t="shared" ref="I32:L32" si="3">$G32*I24</f>
        <v>0</v>
      </c>
      <c r="J32" s="1690">
        <f t="shared" si="3"/>
        <v>0</v>
      </c>
      <c r="K32" s="1690">
        <f t="shared" si="3"/>
        <v>0</v>
      </c>
      <c r="L32" s="1690">
        <f t="shared" si="3"/>
        <v>0</v>
      </c>
      <c r="M32" s="35"/>
      <c r="N32" s="25"/>
    </row>
    <row r="33" spans="2:14" x14ac:dyDescent="0.2">
      <c r="B33" s="936"/>
      <c r="C33" s="6"/>
      <c r="D33" s="191" t="s">
        <v>897</v>
      </c>
      <c r="E33" s="6"/>
      <c r="F33" s="166"/>
      <c r="G33" s="1676">
        <f>IF(E30=0,0,E29/E$30)</f>
        <v>0</v>
      </c>
      <c r="H33" s="1690">
        <f>$G33*H24</f>
        <v>0</v>
      </c>
      <c r="I33" s="1690">
        <f t="shared" ref="I33:L33" si="4">$G33*I24</f>
        <v>0</v>
      </c>
      <c r="J33" s="1690">
        <f t="shared" si="4"/>
        <v>0</v>
      </c>
      <c r="K33" s="1690">
        <f t="shared" si="4"/>
        <v>0</v>
      </c>
      <c r="L33" s="1690">
        <f t="shared" si="4"/>
        <v>0</v>
      </c>
      <c r="M33" s="6"/>
      <c r="N33" s="895"/>
    </row>
    <row r="34" spans="2:14" x14ac:dyDescent="0.2">
      <c r="B34" s="936"/>
      <c r="C34" s="6"/>
      <c r="D34" s="6"/>
      <c r="E34" s="6"/>
      <c r="F34" s="166"/>
      <c r="G34" s="166"/>
      <c r="H34" s="166"/>
      <c r="I34" s="166"/>
      <c r="J34" s="166"/>
      <c r="K34" s="166"/>
      <c r="L34" s="166"/>
      <c r="M34" s="6"/>
      <c r="N34" s="895"/>
    </row>
    <row r="35" spans="2:14" x14ac:dyDescent="0.2">
      <c r="B35" s="936"/>
      <c r="C35" s="6"/>
      <c r="D35" s="6"/>
      <c r="E35" s="6"/>
      <c r="F35" s="166"/>
      <c r="G35" s="166"/>
      <c r="H35" s="166"/>
      <c r="I35" s="166"/>
      <c r="J35" s="166"/>
      <c r="K35" s="166"/>
      <c r="L35" s="166"/>
      <c r="M35" s="6"/>
      <c r="N35" s="895"/>
    </row>
    <row r="36" spans="2:14" x14ac:dyDescent="0.2">
      <c r="B36" s="21"/>
      <c r="C36" s="181"/>
      <c r="D36" s="181"/>
      <c r="E36" s="181"/>
      <c r="F36" s="182"/>
      <c r="G36" s="182"/>
      <c r="H36" s="182"/>
      <c r="I36" s="182"/>
      <c r="J36" s="182"/>
      <c r="K36" s="182"/>
      <c r="L36" s="182"/>
      <c r="M36" s="181"/>
      <c r="N36" s="25"/>
    </row>
    <row r="37" spans="2:14" x14ac:dyDescent="0.2">
      <c r="B37" s="21"/>
      <c r="C37" s="191"/>
      <c r="D37" s="191"/>
      <c r="E37" s="71"/>
      <c r="F37" s="655"/>
      <c r="G37" s="655"/>
      <c r="H37" s="655"/>
      <c r="I37" s="655"/>
      <c r="J37" s="655"/>
      <c r="K37" s="655"/>
      <c r="L37" s="655"/>
      <c r="M37" s="656"/>
      <c r="N37" s="25"/>
    </row>
    <row r="38" spans="2:14" x14ac:dyDescent="0.2">
      <c r="B38" s="21"/>
      <c r="C38" s="191"/>
      <c r="D38" s="199" t="s">
        <v>515</v>
      </c>
      <c r="E38" s="92"/>
      <c r="F38" s="655"/>
      <c r="G38" s="655"/>
      <c r="H38" s="655"/>
      <c r="I38" s="655"/>
      <c r="J38" s="655"/>
      <c r="K38" s="655"/>
      <c r="L38" s="655"/>
      <c r="M38" s="656"/>
      <c r="N38" s="25"/>
    </row>
    <row r="39" spans="2:14" x14ac:dyDescent="0.2">
      <c r="B39" s="21"/>
      <c r="C39" s="199"/>
      <c r="D39" s="191" t="s">
        <v>393</v>
      </c>
      <c r="E39" s="92"/>
      <c r="F39" s="930">
        <f t="shared" ref="F39:L40" si="5">IF(F$24=0,0,+F21/F$24)</f>
        <v>0</v>
      </c>
      <c r="G39" s="930">
        <f t="shared" si="5"/>
        <v>0</v>
      </c>
      <c r="H39" s="930">
        <f t="shared" si="5"/>
        <v>0</v>
      </c>
      <c r="I39" s="930">
        <f t="shared" si="5"/>
        <v>0</v>
      </c>
      <c r="J39" s="930">
        <f t="shared" si="5"/>
        <v>0</v>
      </c>
      <c r="K39" s="930">
        <f t="shared" si="5"/>
        <v>0</v>
      </c>
      <c r="L39" s="930">
        <f t="shared" si="5"/>
        <v>0</v>
      </c>
      <c r="M39" s="656"/>
      <c r="N39" s="25"/>
    </row>
    <row r="40" spans="2:14" x14ac:dyDescent="0.2">
      <c r="B40" s="21"/>
      <c r="C40" s="199"/>
      <c r="D40" s="191" t="s">
        <v>395</v>
      </c>
      <c r="E40" s="92"/>
      <c r="F40" s="930">
        <f t="shared" si="5"/>
        <v>0</v>
      </c>
      <c r="G40" s="930">
        <f t="shared" si="5"/>
        <v>0</v>
      </c>
      <c r="H40" s="930">
        <f t="shared" si="5"/>
        <v>0</v>
      </c>
      <c r="I40" s="930">
        <f t="shared" si="5"/>
        <v>0</v>
      </c>
      <c r="J40" s="930">
        <f t="shared" si="5"/>
        <v>0</v>
      </c>
      <c r="K40" s="930">
        <f t="shared" si="5"/>
        <v>0</v>
      </c>
      <c r="L40" s="930">
        <f t="shared" si="5"/>
        <v>0</v>
      </c>
      <c r="M40" s="656"/>
      <c r="N40" s="25"/>
    </row>
    <row r="41" spans="2:14" x14ac:dyDescent="0.2">
      <c r="B41" s="21"/>
      <c r="C41" s="191"/>
      <c r="D41" s="191"/>
      <c r="E41" s="71"/>
      <c r="F41" s="724"/>
      <c r="G41" s="724"/>
      <c r="H41" s="724"/>
      <c r="I41" s="724"/>
      <c r="J41" s="724"/>
      <c r="K41" s="724"/>
      <c r="L41" s="724"/>
      <c r="M41" s="725"/>
      <c r="N41" s="25"/>
    </row>
    <row r="42" spans="2:14" x14ac:dyDescent="0.2">
      <c r="B42" s="21"/>
      <c r="C42" s="191"/>
      <c r="D42" s="199" t="s">
        <v>531</v>
      </c>
      <c r="E42" s="92"/>
      <c r="F42" s="655"/>
      <c r="G42" s="655"/>
      <c r="H42" s="655"/>
      <c r="I42" s="655"/>
      <c r="J42" s="655"/>
      <c r="K42" s="655"/>
      <c r="L42" s="655"/>
      <c r="M42" s="656"/>
      <c r="N42" s="25"/>
    </row>
    <row r="43" spans="2:14" x14ac:dyDescent="0.2">
      <c r="B43" s="21"/>
      <c r="C43" s="199"/>
      <c r="D43" s="191" t="s">
        <v>393</v>
      </c>
      <c r="E43" s="92"/>
      <c r="F43" s="930">
        <v>0.10671</v>
      </c>
      <c r="G43" s="930">
        <v>0.10484</v>
      </c>
      <c r="H43" s="930">
        <v>0.10235</v>
      </c>
      <c r="I43" s="1064">
        <v>0</v>
      </c>
      <c r="J43" s="1064">
        <v>0</v>
      </c>
      <c r="K43" s="1064">
        <v>0</v>
      </c>
      <c r="L43" s="1064">
        <v>0</v>
      </c>
      <c r="M43" s="656"/>
      <c r="N43" s="25"/>
    </row>
    <row r="44" spans="2:14" x14ac:dyDescent="0.2">
      <c r="B44" s="21"/>
      <c r="C44" s="199"/>
      <c r="D44" s="191" t="s">
        <v>395</v>
      </c>
      <c r="E44" s="92"/>
      <c r="F44" s="930">
        <v>2.9170000000000001E-2</v>
      </c>
      <c r="G44" s="930">
        <v>2.9610000000000001E-2</v>
      </c>
      <c r="H44" s="930">
        <v>2.9829999999999999E-2</v>
      </c>
      <c r="I44" s="1064">
        <v>0</v>
      </c>
      <c r="J44" s="1064">
        <v>0</v>
      </c>
      <c r="K44" s="1064">
        <v>0</v>
      </c>
      <c r="L44" s="1064">
        <v>0</v>
      </c>
      <c r="M44" s="656"/>
      <c r="N44" s="25"/>
    </row>
    <row r="45" spans="2:14" x14ac:dyDescent="0.2">
      <c r="B45" s="21"/>
      <c r="C45" s="191"/>
      <c r="D45" s="191"/>
      <c r="E45" s="71"/>
      <c r="F45" s="724"/>
      <c r="G45" s="724"/>
      <c r="H45" s="724"/>
      <c r="I45" s="724"/>
      <c r="J45" s="724"/>
      <c r="K45" s="724"/>
      <c r="L45" s="724"/>
      <c r="M45" s="725"/>
      <c r="N45" s="25"/>
    </row>
    <row r="46" spans="2:14" x14ac:dyDescent="0.2">
      <c r="B46" s="21"/>
      <c r="C46" s="181"/>
      <c r="D46" s="181"/>
      <c r="E46" s="181"/>
      <c r="F46" s="182"/>
      <c r="G46" s="182"/>
      <c r="H46" s="182"/>
      <c r="I46" s="182"/>
      <c r="J46" s="182"/>
      <c r="K46" s="182"/>
      <c r="L46" s="182"/>
      <c r="M46" s="181"/>
      <c r="N46" s="25"/>
    </row>
    <row r="47" spans="2:14" x14ac:dyDescent="0.2">
      <c r="B47" s="21"/>
      <c r="C47" s="181"/>
      <c r="D47" s="181"/>
      <c r="E47" s="181"/>
      <c r="F47" s="182"/>
      <c r="G47" s="182"/>
      <c r="H47" s="182"/>
      <c r="I47" s="182"/>
      <c r="J47" s="182"/>
      <c r="K47" s="182"/>
      <c r="L47" s="182"/>
      <c r="M47" s="181"/>
      <c r="N47" s="25"/>
    </row>
    <row r="48" spans="2:14" x14ac:dyDescent="0.2">
      <c r="B48" s="183"/>
      <c r="C48" s="163"/>
      <c r="D48" s="163"/>
      <c r="E48" s="163"/>
      <c r="F48" s="184"/>
      <c r="G48" s="184"/>
      <c r="H48" s="184"/>
      <c r="I48" s="184"/>
      <c r="J48" s="184"/>
      <c r="K48" s="184"/>
      <c r="L48" s="84"/>
      <c r="M48" s="654" t="s">
        <v>429</v>
      </c>
      <c r="N48" s="185"/>
    </row>
    <row r="61" s="172" customFormat="1" x14ac:dyDescent="0.2"/>
    <row r="66" spans="3:7" s="172" customFormat="1" x14ac:dyDescent="0.2"/>
    <row r="69" spans="3:7" x14ac:dyDescent="0.2">
      <c r="C69" s="508"/>
      <c r="D69" s="508"/>
      <c r="E69" s="79"/>
      <c r="F69" s="79"/>
      <c r="G69" s="508"/>
    </row>
    <row r="70" spans="3:7" x14ac:dyDescent="0.2">
      <c r="C70" s="191"/>
      <c r="D70" s="189"/>
      <c r="E70" s="71"/>
      <c r="F70" s="50"/>
      <c r="G70" s="191"/>
    </row>
    <row r="71" spans="3:7" s="172" customFormat="1" x14ac:dyDescent="0.2">
      <c r="C71" s="191"/>
      <c r="D71" s="191"/>
      <c r="E71" s="71"/>
      <c r="F71" s="50"/>
      <c r="G71" s="191"/>
    </row>
    <row r="72" spans="3:7" x14ac:dyDescent="0.2">
      <c r="C72" s="191"/>
      <c r="D72" s="191"/>
      <c r="E72" s="71"/>
      <c r="F72" s="50"/>
      <c r="G72" s="191"/>
    </row>
    <row r="73" spans="3:7" x14ac:dyDescent="0.2">
      <c r="C73" s="191"/>
      <c r="D73" s="191"/>
      <c r="E73" s="71"/>
      <c r="F73" s="115"/>
      <c r="G73" s="191"/>
    </row>
    <row r="74" spans="3:7" x14ac:dyDescent="0.2">
      <c r="C74" s="191"/>
      <c r="D74" s="191"/>
      <c r="E74" s="71"/>
      <c r="F74" s="113"/>
      <c r="G74" s="191"/>
    </row>
    <row r="75" spans="3:7" x14ac:dyDescent="0.2">
      <c r="C75" s="199"/>
      <c r="D75" s="199"/>
      <c r="E75" s="71"/>
      <c r="F75" s="71"/>
      <c r="G75" s="199"/>
    </row>
    <row r="76" spans="3:7" s="172" customFormat="1" x14ac:dyDescent="0.2">
      <c r="C76" s="191"/>
      <c r="D76" s="191"/>
      <c r="E76" s="71"/>
      <c r="F76" s="71"/>
      <c r="G76" s="191"/>
    </row>
    <row r="81" s="172" customFormat="1" x14ac:dyDescent="0.2"/>
    <row r="94" s="172" customFormat="1" x14ac:dyDescent="0.2"/>
    <row r="100" s="172" customFormat="1" x14ac:dyDescent="0.2"/>
    <row r="106" s="172" customFormat="1" x14ac:dyDescent="0.2"/>
    <row r="112" s="172" customFormat="1" x14ac:dyDescent="0.2"/>
    <row r="118" s="172" customFormat="1" x14ac:dyDescent="0.2"/>
    <row r="124" s="172" customFormat="1" x14ac:dyDescent="0.2"/>
    <row r="137" s="172" customFormat="1" x14ac:dyDescent="0.2"/>
    <row r="143" s="172" customFormat="1" x14ac:dyDescent="0.2"/>
    <row r="149" s="172" customFormat="1" x14ac:dyDescent="0.2"/>
    <row r="155" s="172" customFormat="1" x14ac:dyDescent="0.2"/>
    <row r="161" s="172" customFormat="1" x14ac:dyDescent="0.2"/>
    <row r="167" s="172" customFormat="1" x14ac:dyDescent="0.2"/>
  </sheetData>
  <sheetProtection algorithmName="SHA-512" hashValue="ZvqO0CaYtRhvhgWhZsL8GEwg1/mJwMjLGr7y+zLT8zxWzULo1HENabiERABiRst1NYZUAhKhGkazI21PSBHRgg==" saltValue="I9bZzNiIj/aQd+HKth2e1A==" spinCount="100000" sheet="1" objects="1" scenarios="1"/>
  <phoneticPr fontId="0" type="noConversion"/>
  <hyperlinks>
    <hyperlink ref="M48" r:id="rId1"/>
  </hyperlinks>
  <pageMargins left="0.75" right="0.75" top="1" bottom="1" header="0.5" footer="0.5"/>
  <pageSetup paperSize="9" scale="58" orientation="landscape" r:id="rId2"/>
  <headerFooter alignWithMargins="0">
    <oddHeader>&amp;L&amp;"Arial,Vet"&amp;9&amp;F&amp;R&amp;"Arial,Vet"&amp;9&amp;A</oddHeader>
    <oddFooter>&amp;L&amp;"Arial,Vet"&amp;9be.keizer@wxs.nl&amp;C&amp;"Arial,Vet"&amp;9pagina &amp;P&amp;R&amp;"Arial,Vet"&amp;9&amp;D</oddFooter>
  </headerFooter>
  <rowBreaks count="2" manualBreakCount="2">
    <brk id="48" min="1" max="12" man="1"/>
    <brk id="126" min="1" max="12" man="1"/>
  </row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218"/>
  <sheetViews>
    <sheetView zoomScale="85" zoomScaleNormal="85" workbookViewId="0">
      <selection activeCell="B2" sqref="B2"/>
    </sheetView>
  </sheetViews>
  <sheetFormatPr defaultRowHeight="12.75" x14ac:dyDescent="0.2"/>
  <cols>
    <col min="1" max="1" width="3.7109375" style="110" customWidth="1"/>
    <col min="2" max="3" width="2.7109375" style="110" customWidth="1"/>
    <col min="4" max="4" width="4.5703125" style="111" customWidth="1"/>
    <col min="5" max="5" width="25.7109375" style="111" customWidth="1"/>
    <col min="6" max="6" width="7.7109375" style="112" customWidth="1"/>
    <col min="7" max="7" width="2" style="113" customWidth="1"/>
    <col min="8" max="12" width="8.7109375" style="113" customWidth="1"/>
    <col min="13" max="13" width="1.7109375" style="113" customWidth="1"/>
    <col min="14" max="18" width="12.7109375" style="110" customWidth="1"/>
    <col min="19" max="19" width="1.7109375" style="113" customWidth="1"/>
    <col min="20" max="24" width="12.7109375" style="110" customWidth="1"/>
    <col min="25" max="25" width="1.7109375" style="113" customWidth="1"/>
    <col min="26" max="30" width="12.7109375" style="110" customWidth="1"/>
    <col min="31" max="31" width="1.7109375" style="113" customWidth="1"/>
    <col min="32" max="36" width="12.7109375" style="110" customWidth="1"/>
    <col min="37" max="38" width="2.7109375" style="110" customWidth="1"/>
    <col min="39" max="16384" width="9.140625" style="110"/>
  </cols>
  <sheetData>
    <row r="2" spans="2:38" x14ac:dyDescent="0.2">
      <c r="B2" s="72"/>
      <c r="C2" s="1065"/>
      <c r="D2" s="1066"/>
      <c r="E2" s="1066"/>
      <c r="F2" s="1067"/>
      <c r="G2" s="1068"/>
      <c r="H2" s="1068"/>
      <c r="I2" s="1068"/>
      <c r="J2" s="1068"/>
      <c r="K2" s="1068"/>
      <c r="L2" s="1068"/>
      <c r="M2" s="1068"/>
      <c r="N2" s="1065"/>
      <c r="O2" s="1065"/>
      <c r="P2" s="1065"/>
      <c r="Q2" s="1065"/>
      <c r="R2" s="1065"/>
      <c r="S2" s="1068"/>
      <c r="T2" s="1065"/>
      <c r="U2" s="1065"/>
      <c r="V2" s="1065"/>
      <c r="W2" s="1065"/>
      <c r="X2" s="1065"/>
      <c r="Y2" s="1068"/>
      <c r="Z2" s="1065"/>
      <c r="AA2" s="1065"/>
      <c r="AB2" s="1065"/>
      <c r="AC2" s="1065"/>
      <c r="AD2" s="1065"/>
      <c r="AE2" s="1068"/>
      <c r="AF2" s="1065"/>
      <c r="AG2" s="1065"/>
      <c r="AH2" s="1065"/>
      <c r="AI2" s="1065"/>
      <c r="AJ2" s="1065"/>
      <c r="AK2" s="1065"/>
      <c r="AL2" s="75"/>
    </row>
    <row r="3" spans="2:38" x14ac:dyDescent="0.2">
      <c r="B3" s="989"/>
      <c r="C3" s="77"/>
      <c r="D3" s="121"/>
      <c r="E3" s="121"/>
      <c r="F3" s="122"/>
      <c r="G3" s="70"/>
      <c r="H3" s="70"/>
      <c r="I3" s="70"/>
      <c r="J3" s="70"/>
      <c r="K3" s="70"/>
      <c r="L3" s="70"/>
      <c r="M3" s="70"/>
      <c r="N3" s="77"/>
      <c r="O3" s="77"/>
      <c r="P3" s="77"/>
      <c r="Q3" s="77"/>
      <c r="R3" s="77"/>
      <c r="S3" s="70"/>
      <c r="T3" s="77"/>
      <c r="U3" s="77"/>
      <c r="V3" s="77"/>
      <c r="W3" s="77"/>
      <c r="X3" s="77"/>
      <c r="Y3" s="70"/>
      <c r="Z3" s="77"/>
      <c r="AA3" s="77"/>
      <c r="AB3" s="77"/>
      <c r="AC3" s="77"/>
      <c r="AD3" s="77"/>
      <c r="AE3" s="70"/>
      <c r="AF3" s="77"/>
      <c r="AG3" s="77"/>
      <c r="AH3" s="77"/>
      <c r="AI3" s="77"/>
      <c r="AJ3" s="77"/>
      <c r="AK3" s="77"/>
      <c r="AL3" s="78"/>
    </row>
    <row r="4" spans="2:38" s="10" customFormat="1" ht="18.75" x14ac:dyDescent="0.3">
      <c r="B4" s="1069"/>
      <c r="C4" s="55" t="s">
        <v>421</v>
      </c>
      <c r="D4" s="88"/>
      <c r="E4" s="58"/>
      <c r="F4" s="123"/>
      <c r="G4" s="87"/>
      <c r="H4" s="87"/>
      <c r="I4" s="87"/>
      <c r="J4" s="87"/>
      <c r="K4" s="87"/>
      <c r="L4" s="87"/>
      <c r="M4" s="87"/>
      <c r="N4" s="58"/>
      <c r="O4" s="58"/>
      <c r="P4" s="58"/>
      <c r="Q4" s="58"/>
      <c r="R4" s="58"/>
      <c r="S4" s="87"/>
      <c r="T4" s="58"/>
      <c r="U4" s="58"/>
      <c r="V4" s="58"/>
      <c r="W4" s="58"/>
      <c r="X4" s="58"/>
      <c r="Y4" s="87"/>
      <c r="Z4" s="58"/>
      <c r="AA4" s="58"/>
      <c r="AB4" s="58"/>
      <c r="AC4" s="58"/>
      <c r="AD4" s="58"/>
      <c r="AE4" s="87"/>
      <c r="AF4" s="58"/>
      <c r="AG4" s="58"/>
      <c r="AH4" s="58"/>
      <c r="AI4" s="58"/>
      <c r="AJ4" s="58"/>
      <c r="AK4" s="58"/>
      <c r="AL4" s="89"/>
    </row>
    <row r="5" spans="2:38" s="114" customFormat="1" x14ac:dyDescent="0.2">
      <c r="B5" s="1070"/>
      <c r="C5" s="64" t="s">
        <v>305</v>
      </c>
      <c r="D5" s="124"/>
      <c r="E5" s="57"/>
      <c r="F5" s="125"/>
      <c r="G5" s="126"/>
      <c r="H5" s="126"/>
      <c r="I5" s="126"/>
      <c r="J5" s="126"/>
      <c r="K5" s="126"/>
      <c r="L5" s="126"/>
      <c r="M5" s="126"/>
      <c r="N5" s="57"/>
      <c r="O5" s="57"/>
      <c r="P5" s="57"/>
      <c r="Q5" s="57"/>
      <c r="R5" s="57"/>
      <c r="S5" s="126"/>
      <c r="T5" s="57"/>
      <c r="U5" s="57"/>
      <c r="V5" s="57"/>
      <c r="W5" s="57"/>
      <c r="X5" s="57"/>
      <c r="Y5" s="126"/>
      <c r="Z5" s="57"/>
      <c r="AA5" s="57"/>
      <c r="AB5" s="57"/>
      <c r="AC5" s="57"/>
      <c r="AD5" s="57"/>
      <c r="AE5" s="126"/>
      <c r="AF5" s="57"/>
      <c r="AG5" s="57"/>
      <c r="AH5" s="57"/>
      <c r="AI5" s="57"/>
      <c r="AJ5" s="57"/>
      <c r="AK5" s="57"/>
      <c r="AL5" s="91"/>
    </row>
    <row r="6" spans="2:38" s="114" customFormat="1" x14ac:dyDescent="0.2">
      <c r="B6" s="1070"/>
      <c r="C6" s="124"/>
      <c r="D6" s="124"/>
      <c r="E6" s="57"/>
      <c r="F6" s="125"/>
      <c r="G6" s="126"/>
      <c r="H6" s="126"/>
      <c r="I6" s="126"/>
      <c r="J6" s="126"/>
      <c r="K6" s="126"/>
      <c r="L6" s="126"/>
      <c r="M6" s="126"/>
      <c r="N6" s="57"/>
      <c r="O6" s="57"/>
      <c r="P6" s="57"/>
      <c r="Q6" s="57"/>
      <c r="R6" s="57"/>
      <c r="S6" s="126"/>
      <c r="T6" s="57"/>
      <c r="U6" s="57"/>
      <c r="V6" s="57"/>
      <c r="W6" s="57"/>
      <c r="X6" s="57"/>
      <c r="Y6" s="126"/>
      <c r="Z6" s="57"/>
      <c r="AA6" s="57"/>
      <c r="AB6" s="57"/>
      <c r="AC6" s="57"/>
      <c r="AD6" s="57"/>
      <c r="AE6" s="126"/>
      <c r="AF6" s="57"/>
      <c r="AG6" s="57"/>
      <c r="AH6" s="57"/>
      <c r="AI6" s="57"/>
      <c r="AJ6" s="57"/>
      <c r="AK6" s="57"/>
      <c r="AL6" s="91"/>
    </row>
    <row r="7" spans="2:38" s="114" customFormat="1" x14ac:dyDescent="0.2">
      <c r="B7" s="1070"/>
      <c r="C7" s="124"/>
      <c r="D7" s="124"/>
      <c r="E7" s="57"/>
      <c r="F7" s="125"/>
      <c r="G7" s="126"/>
      <c r="H7" s="126"/>
      <c r="I7" s="126"/>
      <c r="J7" s="126"/>
      <c r="K7" s="126"/>
      <c r="L7" s="126"/>
      <c r="M7" s="126"/>
      <c r="N7" s="57"/>
      <c r="O7" s="57"/>
      <c r="P7" s="57"/>
      <c r="Q7" s="57"/>
      <c r="R7" s="57"/>
      <c r="S7" s="126"/>
      <c r="T7" s="57"/>
      <c r="U7" s="57"/>
      <c r="V7" s="57"/>
      <c r="W7" s="57"/>
      <c r="X7" s="57"/>
      <c r="Y7" s="126"/>
      <c r="Z7" s="57"/>
      <c r="AA7" s="57"/>
      <c r="AB7" s="57"/>
      <c r="AC7" s="57"/>
      <c r="AD7" s="57"/>
      <c r="AE7" s="126"/>
      <c r="AF7" s="57"/>
      <c r="AG7" s="57"/>
      <c r="AH7" s="57"/>
      <c r="AI7" s="57"/>
      <c r="AJ7" s="57"/>
      <c r="AK7" s="57"/>
      <c r="AL7" s="91"/>
    </row>
    <row r="8" spans="2:38" x14ac:dyDescent="0.2">
      <c r="B8" s="989"/>
      <c r="C8" s="77"/>
      <c r="D8" s="121"/>
      <c r="E8" s="155" t="s">
        <v>306</v>
      </c>
      <c r="F8" s="156" t="s">
        <v>307</v>
      </c>
      <c r="G8" s="666"/>
      <c r="H8" s="157" t="s">
        <v>707</v>
      </c>
      <c r="I8" s="52"/>
      <c r="J8" s="52"/>
      <c r="K8" s="52"/>
      <c r="L8" s="52"/>
      <c r="M8" s="52"/>
      <c r="N8" s="59" t="s">
        <v>732</v>
      </c>
      <c r="O8" s="44"/>
      <c r="P8" s="44"/>
      <c r="Q8" s="44"/>
      <c r="R8" s="44"/>
      <c r="S8" s="52"/>
      <c r="T8" s="59" t="s">
        <v>309</v>
      </c>
      <c r="U8" s="44"/>
      <c r="V8" s="44"/>
      <c r="W8" s="44"/>
      <c r="X8" s="44"/>
      <c r="Y8" s="52"/>
      <c r="Z8" s="59" t="s">
        <v>310</v>
      </c>
      <c r="AA8" s="44"/>
      <c r="AB8" s="44"/>
      <c r="AC8" s="44"/>
      <c r="AD8" s="44"/>
      <c r="AE8" s="52"/>
      <c r="AF8" s="59" t="s">
        <v>311</v>
      </c>
      <c r="AG8" s="77"/>
      <c r="AH8" s="77"/>
      <c r="AI8" s="77"/>
      <c r="AJ8" s="77"/>
      <c r="AK8" s="77"/>
      <c r="AL8" s="78"/>
    </row>
    <row r="9" spans="2:38" s="11" customFormat="1" x14ac:dyDescent="0.2">
      <c r="B9" s="1071"/>
      <c r="C9" s="56"/>
      <c r="D9" s="64"/>
      <c r="E9" s="95"/>
      <c r="F9" s="158"/>
      <c r="G9" s="922"/>
      <c r="H9" s="95" t="s">
        <v>620</v>
      </c>
      <c r="I9" s="94"/>
      <c r="J9" s="94"/>
      <c r="K9" s="94"/>
      <c r="L9" s="94"/>
      <c r="M9" s="94"/>
      <c r="N9" s="154"/>
      <c r="O9" s="154"/>
      <c r="P9" s="154"/>
      <c r="Q9" s="154"/>
      <c r="R9" s="154"/>
      <c r="S9" s="94"/>
      <c r="T9" s="154"/>
      <c r="U9" s="154"/>
      <c r="V9" s="154"/>
      <c r="W9" s="154"/>
      <c r="X9" s="154"/>
      <c r="Y9" s="94"/>
      <c r="Z9" s="154"/>
      <c r="AA9" s="154"/>
      <c r="AB9" s="154"/>
      <c r="AC9" s="154"/>
      <c r="AD9" s="154"/>
      <c r="AE9" s="94"/>
      <c r="AF9" s="154"/>
      <c r="AG9" s="56"/>
      <c r="AH9" s="56"/>
      <c r="AI9" s="56"/>
      <c r="AJ9" s="56"/>
      <c r="AK9" s="56"/>
      <c r="AL9" s="63"/>
    </row>
    <row r="10" spans="2:38" s="12" customFormat="1" x14ac:dyDescent="0.2">
      <c r="B10" s="1072"/>
      <c r="C10" s="54"/>
      <c r="D10" s="53"/>
      <c r="E10" s="61"/>
      <c r="F10" s="156"/>
      <c r="G10" s="45"/>
      <c r="H10" s="45" t="s">
        <v>702</v>
      </c>
      <c r="I10" s="45" t="s">
        <v>703</v>
      </c>
      <c r="J10" s="45" t="s">
        <v>704</v>
      </c>
      <c r="K10" s="45" t="s">
        <v>705</v>
      </c>
      <c r="L10" s="45" t="s">
        <v>706</v>
      </c>
      <c r="M10" s="61"/>
      <c r="N10" s="630">
        <f>tab!F4</f>
        <v>2016</v>
      </c>
      <c r="O10" s="630">
        <f>tab!G4</f>
        <v>2017</v>
      </c>
      <c r="P10" s="630">
        <f>tab!H4</f>
        <v>2018</v>
      </c>
      <c r="Q10" s="630">
        <f>tab!I4</f>
        <v>2019</v>
      </c>
      <c r="R10" s="630">
        <f>tab!J4</f>
        <v>2020</v>
      </c>
      <c r="S10" s="61"/>
      <c r="T10" s="630">
        <f>N10</f>
        <v>2016</v>
      </c>
      <c r="U10" s="630">
        <f>O10</f>
        <v>2017</v>
      </c>
      <c r="V10" s="630">
        <f>P10</f>
        <v>2018</v>
      </c>
      <c r="W10" s="630">
        <f>Q10</f>
        <v>2019</v>
      </c>
      <c r="X10" s="630">
        <f>R10</f>
        <v>2020</v>
      </c>
      <c r="Y10" s="61"/>
      <c r="Z10" s="630">
        <f>tab!F4</f>
        <v>2016</v>
      </c>
      <c r="AA10" s="630">
        <f>tab!G4</f>
        <v>2017</v>
      </c>
      <c r="AB10" s="630">
        <f>tab!H4</f>
        <v>2018</v>
      </c>
      <c r="AC10" s="630">
        <f>tab!I4</f>
        <v>2019</v>
      </c>
      <c r="AD10" s="630">
        <f>tab!J4</f>
        <v>2020</v>
      </c>
      <c r="AE10" s="61"/>
      <c r="AF10" s="630">
        <f>tab!F4</f>
        <v>2016</v>
      </c>
      <c r="AG10" s="630">
        <f>tab!G4</f>
        <v>2017</v>
      </c>
      <c r="AH10" s="630">
        <f>tab!H4</f>
        <v>2018</v>
      </c>
      <c r="AI10" s="630">
        <f>tab!I4</f>
        <v>2019</v>
      </c>
      <c r="AJ10" s="630">
        <f>tab!J4</f>
        <v>2020</v>
      </c>
      <c r="AK10" s="54"/>
      <c r="AL10" s="132"/>
    </row>
    <row r="11" spans="2:38" s="113" customFormat="1" x14ac:dyDescent="0.2">
      <c r="B11" s="1073"/>
      <c r="C11" s="70"/>
      <c r="D11" s="121"/>
      <c r="E11" s="159"/>
      <c r="F11" s="60"/>
      <c r="G11" s="52"/>
      <c r="H11" s="52"/>
      <c r="I11" s="52"/>
      <c r="J11" s="52"/>
      <c r="K11" s="52"/>
      <c r="L11" s="52"/>
      <c r="M11" s="52"/>
      <c r="N11" s="52"/>
      <c r="O11" s="52"/>
      <c r="P11" s="52"/>
      <c r="Q11" s="52"/>
      <c r="R11" s="52"/>
      <c r="S11" s="52"/>
      <c r="T11" s="52"/>
      <c r="U11" s="52"/>
      <c r="V11" s="52"/>
      <c r="W11" s="52"/>
      <c r="X11" s="52"/>
      <c r="Y11" s="52"/>
      <c r="Z11" s="160"/>
      <c r="AA11" s="94"/>
      <c r="AB11" s="94"/>
      <c r="AC11" s="94"/>
      <c r="AD11" s="94"/>
      <c r="AE11" s="94"/>
      <c r="AF11" s="160"/>
      <c r="AG11" s="70"/>
      <c r="AH11" s="70"/>
      <c r="AI11" s="70"/>
      <c r="AJ11" s="70"/>
      <c r="AK11" s="70"/>
      <c r="AL11" s="134"/>
    </row>
    <row r="12" spans="2:38" s="113" customFormat="1" x14ac:dyDescent="0.2">
      <c r="B12" s="1073"/>
      <c r="C12" s="647" t="s">
        <v>440</v>
      </c>
      <c r="D12" s="648"/>
      <c r="E12" s="649"/>
      <c r="F12" s="650"/>
      <c r="G12" s="665"/>
      <c r="H12" s="1158">
        <f t="shared" ref="H12:L12" si="0">+H141</f>
        <v>0</v>
      </c>
      <c r="I12" s="1158">
        <f t="shared" si="0"/>
        <v>0</v>
      </c>
      <c r="J12" s="1158">
        <f t="shared" si="0"/>
        <v>0</v>
      </c>
      <c r="K12" s="1158">
        <f t="shared" si="0"/>
        <v>0</v>
      </c>
      <c r="L12" s="1158">
        <f t="shared" si="0"/>
        <v>0</v>
      </c>
      <c r="M12" s="652"/>
      <c r="N12" s="653">
        <f t="shared" ref="N12:R12" si="1">+N141</f>
        <v>0</v>
      </c>
      <c r="O12" s="653">
        <f t="shared" si="1"/>
        <v>0</v>
      </c>
      <c r="P12" s="653">
        <f t="shared" si="1"/>
        <v>0</v>
      </c>
      <c r="Q12" s="653">
        <f t="shared" si="1"/>
        <v>0</v>
      </c>
      <c r="R12" s="653">
        <f t="shared" si="1"/>
        <v>0</v>
      </c>
      <c r="S12" s="652"/>
      <c r="T12" s="653">
        <f t="shared" ref="T12:X12" si="2">+T141</f>
        <v>0</v>
      </c>
      <c r="U12" s="653">
        <f t="shared" si="2"/>
        <v>0</v>
      </c>
      <c r="V12" s="653">
        <f t="shared" si="2"/>
        <v>0</v>
      </c>
      <c r="W12" s="653">
        <f t="shared" si="2"/>
        <v>0</v>
      </c>
      <c r="X12" s="653">
        <f t="shared" si="2"/>
        <v>0</v>
      </c>
      <c r="Y12" s="652"/>
      <c r="Z12" s="653">
        <f t="shared" ref="Z12:AD12" si="3">+Z141</f>
        <v>0</v>
      </c>
      <c r="AA12" s="653">
        <f t="shared" si="3"/>
        <v>0</v>
      </c>
      <c r="AB12" s="653">
        <f t="shared" si="3"/>
        <v>0</v>
      </c>
      <c r="AC12" s="653">
        <f t="shared" si="3"/>
        <v>0</v>
      </c>
      <c r="AD12" s="653">
        <f t="shared" si="3"/>
        <v>0</v>
      </c>
      <c r="AE12" s="652"/>
      <c r="AF12" s="653">
        <f t="shared" ref="AF12:AJ12" si="4">+AF141</f>
        <v>0</v>
      </c>
      <c r="AG12" s="653">
        <f t="shared" si="4"/>
        <v>0</v>
      </c>
      <c r="AH12" s="653">
        <f t="shared" si="4"/>
        <v>0</v>
      </c>
      <c r="AI12" s="653">
        <f t="shared" si="4"/>
        <v>0</v>
      </c>
      <c r="AJ12" s="653">
        <f t="shared" si="4"/>
        <v>0</v>
      </c>
      <c r="AK12" s="1074"/>
      <c r="AL12" s="134"/>
    </row>
    <row r="13" spans="2:38" s="113" customFormat="1" x14ac:dyDescent="0.2">
      <c r="B13" s="1073"/>
      <c r="C13" s="70"/>
      <c r="D13" s="121"/>
      <c r="E13" s="159"/>
      <c r="F13" s="60"/>
      <c r="G13" s="52"/>
      <c r="H13" s="52"/>
      <c r="I13" s="52"/>
      <c r="J13" s="52"/>
      <c r="K13" s="52"/>
      <c r="L13" s="52"/>
      <c r="M13" s="52"/>
      <c r="N13" s="52"/>
      <c r="O13" s="52"/>
      <c r="P13" s="52"/>
      <c r="Q13" s="52"/>
      <c r="R13" s="52"/>
      <c r="S13" s="52"/>
      <c r="T13" s="52"/>
      <c r="U13" s="52"/>
      <c r="V13" s="52"/>
      <c r="W13" s="52"/>
      <c r="X13" s="52"/>
      <c r="Y13" s="52"/>
      <c r="Z13" s="160"/>
      <c r="AA13" s="94"/>
      <c r="AB13" s="94"/>
      <c r="AC13" s="94"/>
      <c r="AD13" s="94"/>
      <c r="AE13" s="94"/>
      <c r="AF13" s="160"/>
      <c r="AG13" s="70"/>
      <c r="AH13" s="70"/>
      <c r="AI13" s="70"/>
      <c r="AJ13" s="70"/>
      <c r="AK13" s="70"/>
      <c r="AL13" s="134"/>
    </row>
    <row r="14" spans="2:38" s="113" customFormat="1" x14ac:dyDescent="0.2">
      <c r="B14" s="1073"/>
      <c r="C14" s="147"/>
      <c r="D14" s="148"/>
      <c r="E14" s="148"/>
      <c r="F14" s="149"/>
      <c r="G14" s="960"/>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90"/>
      <c r="AL14" s="134"/>
    </row>
    <row r="15" spans="2:38" s="113" customFormat="1" x14ac:dyDescent="0.2">
      <c r="B15" s="1073"/>
      <c r="C15" s="150"/>
      <c r="D15" s="50">
        <v>1</v>
      </c>
      <c r="E15" s="151" t="s">
        <v>783</v>
      </c>
      <c r="F15" s="1093" t="s">
        <v>312</v>
      </c>
      <c r="G15" s="1087"/>
      <c r="H15" s="1075">
        <v>0</v>
      </c>
      <c r="I15" s="1075">
        <f t="shared" ref="I15:L30" si="5">+H15</f>
        <v>0</v>
      </c>
      <c r="J15" s="1075">
        <f t="shared" si="5"/>
        <v>0</v>
      </c>
      <c r="K15" s="1075">
        <f t="shared" si="5"/>
        <v>0</v>
      </c>
      <c r="L15" s="1075">
        <f t="shared" si="5"/>
        <v>0</v>
      </c>
      <c r="M15" s="71"/>
      <c r="N15" s="68">
        <f>H15*tab!F$15</f>
        <v>0</v>
      </c>
      <c r="O15" s="68">
        <f>I15*tab!G$15</f>
        <v>0</v>
      </c>
      <c r="P15" s="68">
        <f>J15*tab!H$15</f>
        <v>0</v>
      </c>
      <c r="Q15" s="68">
        <f>K15*tab!I$15</f>
        <v>0</v>
      </c>
      <c r="R15" s="68">
        <f>L15*tab!J$15</f>
        <v>0</v>
      </c>
      <c r="S15" s="71"/>
      <c r="T15" s="120">
        <v>0</v>
      </c>
      <c r="U15" s="120">
        <f t="shared" ref="U15:X30" si="6">T15</f>
        <v>0</v>
      </c>
      <c r="V15" s="120">
        <f t="shared" si="6"/>
        <v>0</v>
      </c>
      <c r="W15" s="120">
        <f t="shared" si="6"/>
        <v>0</v>
      </c>
      <c r="X15" s="120">
        <f t="shared" si="6"/>
        <v>0</v>
      </c>
      <c r="Y15" s="71"/>
      <c r="Z15" s="68">
        <f>+H15*tab!F$16</f>
        <v>0</v>
      </c>
      <c r="AA15" s="68">
        <f>+I15*tab!G$16</f>
        <v>0</v>
      </c>
      <c r="AB15" s="68">
        <f>+J15*tab!H$16</f>
        <v>0</v>
      </c>
      <c r="AC15" s="68">
        <f>+K15*tab!I$16</f>
        <v>0</v>
      </c>
      <c r="AD15" s="68">
        <f>+L15*tab!J$16</f>
        <v>0</v>
      </c>
      <c r="AE15" s="71"/>
      <c r="AF15" s="153">
        <v>0</v>
      </c>
      <c r="AG15" s="120">
        <f t="shared" ref="AG15:AJ30" si="7">AF15</f>
        <v>0</v>
      </c>
      <c r="AH15" s="120">
        <f t="shared" si="7"/>
        <v>0</v>
      </c>
      <c r="AI15" s="120">
        <f t="shared" si="7"/>
        <v>0</v>
      </c>
      <c r="AJ15" s="120">
        <f t="shared" si="7"/>
        <v>0</v>
      </c>
      <c r="AK15" s="92"/>
      <c r="AL15" s="134"/>
    </row>
    <row r="16" spans="2:38" s="113" customFormat="1" x14ac:dyDescent="0.2">
      <c r="B16" s="1073"/>
      <c r="C16" s="150"/>
      <c r="D16" s="50">
        <v>2</v>
      </c>
      <c r="E16" s="151" t="s">
        <v>784</v>
      </c>
      <c r="F16" s="1093" t="s">
        <v>312</v>
      </c>
      <c r="G16" s="1087"/>
      <c r="H16" s="1075">
        <v>0</v>
      </c>
      <c r="I16" s="1075">
        <f t="shared" si="5"/>
        <v>0</v>
      </c>
      <c r="J16" s="1075">
        <f t="shared" si="5"/>
        <v>0</v>
      </c>
      <c r="K16" s="1075">
        <f t="shared" si="5"/>
        <v>0</v>
      </c>
      <c r="L16" s="1075">
        <f t="shared" si="5"/>
        <v>0</v>
      </c>
      <c r="M16" s="71"/>
      <c r="N16" s="68">
        <f>H16*tab!F$15</f>
        <v>0</v>
      </c>
      <c r="O16" s="68">
        <f>I16*tab!G$15</f>
        <v>0</v>
      </c>
      <c r="P16" s="68">
        <f>J16*tab!H$15</f>
        <v>0</v>
      </c>
      <c r="Q16" s="68">
        <f>K16*tab!I$15</f>
        <v>0</v>
      </c>
      <c r="R16" s="68">
        <f>L16*tab!J$15</f>
        <v>0</v>
      </c>
      <c r="S16" s="71"/>
      <c r="T16" s="120">
        <v>0</v>
      </c>
      <c r="U16" s="120">
        <f t="shared" ref="U16:U47" si="8">T16</f>
        <v>0</v>
      </c>
      <c r="V16" s="120">
        <f t="shared" si="6"/>
        <v>0</v>
      </c>
      <c r="W16" s="120">
        <f t="shared" si="6"/>
        <v>0</v>
      </c>
      <c r="X16" s="120">
        <f t="shared" si="6"/>
        <v>0</v>
      </c>
      <c r="Y16" s="71"/>
      <c r="Z16" s="68">
        <f>+H16*tab!F$16</f>
        <v>0</v>
      </c>
      <c r="AA16" s="68">
        <f>+I16*tab!G$16</f>
        <v>0</v>
      </c>
      <c r="AB16" s="68">
        <f>+J16*tab!H$16</f>
        <v>0</v>
      </c>
      <c r="AC16" s="68">
        <f>+K16*tab!I$16</f>
        <v>0</v>
      </c>
      <c r="AD16" s="68">
        <f>+L16*tab!J$16</f>
        <v>0</v>
      </c>
      <c r="AE16" s="71"/>
      <c r="AF16" s="153">
        <v>0</v>
      </c>
      <c r="AG16" s="120">
        <f t="shared" si="7"/>
        <v>0</v>
      </c>
      <c r="AH16" s="120">
        <f t="shared" si="7"/>
        <v>0</v>
      </c>
      <c r="AI16" s="120">
        <f t="shared" si="7"/>
        <v>0</v>
      </c>
      <c r="AJ16" s="120">
        <f t="shared" si="7"/>
        <v>0</v>
      </c>
      <c r="AK16" s="92"/>
      <c r="AL16" s="134"/>
    </row>
    <row r="17" spans="2:38" s="113" customFormat="1" x14ac:dyDescent="0.2">
      <c r="B17" s="1073"/>
      <c r="C17" s="150"/>
      <c r="D17" s="50">
        <v>3</v>
      </c>
      <c r="E17" s="151" t="s">
        <v>785</v>
      </c>
      <c r="F17" s="1093" t="s">
        <v>312</v>
      </c>
      <c r="G17" s="1087"/>
      <c r="H17" s="1075">
        <v>0</v>
      </c>
      <c r="I17" s="1075">
        <f t="shared" si="5"/>
        <v>0</v>
      </c>
      <c r="J17" s="1075">
        <f t="shared" si="5"/>
        <v>0</v>
      </c>
      <c r="K17" s="1075">
        <f t="shared" si="5"/>
        <v>0</v>
      </c>
      <c r="L17" s="1075">
        <f t="shared" si="5"/>
        <v>0</v>
      </c>
      <c r="M17" s="71"/>
      <c r="N17" s="68">
        <f>H17*tab!F$15</f>
        <v>0</v>
      </c>
      <c r="O17" s="68">
        <f>I17*tab!G$15</f>
        <v>0</v>
      </c>
      <c r="P17" s="68">
        <f>J17*tab!H$15</f>
        <v>0</v>
      </c>
      <c r="Q17" s="68">
        <f>K17*tab!I$15</f>
        <v>0</v>
      </c>
      <c r="R17" s="68">
        <f>L17*tab!J$15</f>
        <v>0</v>
      </c>
      <c r="S17" s="71"/>
      <c r="T17" s="120">
        <v>0</v>
      </c>
      <c r="U17" s="120">
        <f t="shared" si="8"/>
        <v>0</v>
      </c>
      <c r="V17" s="120">
        <f t="shared" si="6"/>
        <v>0</v>
      </c>
      <c r="W17" s="120">
        <f t="shared" si="6"/>
        <v>0</v>
      </c>
      <c r="X17" s="120">
        <f t="shared" si="6"/>
        <v>0</v>
      </c>
      <c r="Y17" s="71"/>
      <c r="Z17" s="68">
        <f>+H17*tab!F$16</f>
        <v>0</v>
      </c>
      <c r="AA17" s="68">
        <f>+I17*tab!G$16</f>
        <v>0</v>
      </c>
      <c r="AB17" s="68">
        <f>+J17*tab!H$16</f>
        <v>0</v>
      </c>
      <c r="AC17" s="68">
        <f>+K17*tab!I$16</f>
        <v>0</v>
      </c>
      <c r="AD17" s="68">
        <f>+L17*tab!J$16</f>
        <v>0</v>
      </c>
      <c r="AE17" s="71"/>
      <c r="AF17" s="153">
        <v>0</v>
      </c>
      <c r="AG17" s="120">
        <f t="shared" si="7"/>
        <v>0</v>
      </c>
      <c r="AH17" s="120">
        <f t="shared" si="7"/>
        <v>0</v>
      </c>
      <c r="AI17" s="120">
        <f t="shared" si="7"/>
        <v>0</v>
      </c>
      <c r="AJ17" s="120">
        <f t="shared" si="7"/>
        <v>0</v>
      </c>
      <c r="AK17" s="92"/>
      <c r="AL17" s="134"/>
    </row>
    <row r="18" spans="2:38" s="113" customFormat="1" x14ac:dyDescent="0.2">
      <c r="B18" s="1073"/>
      <c r="C18" s="150"/>
      <c r="D18" s="50">
        <v>4</v>
      </c>
      <c r="E18" s="151" t="s">
        <v>786</v>
      </c>
      <c r="F18" s="1093" t="s">
        <v>312</v>
      </c>
      <c r="G18" s="1087"/>
      <c r="H18" s="1075">
        <v>0</v>
      </c>
      <c r="I18" s="1075">
        <f t="shared" si="5"/>
        <v>0</v>
      </c>
      <c r="J18" s="1075">
        <f t="shared" si="5"/>
        <v>0</v>
      </c>
      <c r="K18" s="1075">
        <f t="shared" si="5"/>
        <v>0</v>
      </c>
      <c r="L18" s="1075">
        <f t="shared" si="5"/>
        <v>0</v>
      </c>
      <c r="M18" s="71"/>
      <c r="N18" s="68">
        <f>H18*tab!F$15</f>
        <v>0</v>
      </c>
      <c r="O18" s="68">
        <f>I18*tab!G$15</f>
        <v>0</v>
      </c>
      <c r="P18" s="68">
        <f>J18*tab!H$15</f>
        <v>0</v>
      </c>
      <c r="Q18" s="68">
        <f>K18*tab!I$15</f>
        <v>0</v>
      </c>
      <c r="R18" s="68">
        <f>L18*tab!J$15</f>
        <v>0</v>
      </c>
      <c r="S18" s="71"/>
      <c r="T18" s="120">
        <v>0</v>
      </c>
      <c r="U18" s="120">
        <f t="shared" si="8"/>
        <v>0</v>
      </c>
      <c r="V18" s="120">
        <f t="shared" si="6"/>
        <v>0</v>
      </c>
      <c r="W18" s="120">
        <f t="shared" si="6"/>
        <v>0</v>
      </c>
      <c r="X18" s="120">
        <f t="shared" si="6"/>
        <v>0</v>
      </c>
      <c r="Y18" s="71"/>
      <c r="Z18" s="68">
        <f>+H18*tab!F$16</f>
        <v>0</v>
      </c>
      <c r="AA18" s="68">
        <f>+I18*tab!G$16</f>
        <v>0</v>
      </c>
      <c r="AB18" s="68">
        <f>+J18*tab!H$16</f>
        <v>0</v>
      </c>
      <c r="AC18" s="68">
        <f>+K18*tab!I$16</f>
        <v>0</v>
      </c>
      <c r="AD18" s="68">
        <f>+L18*tab!J$16</f>
        <v>0</v>
      </c>
      <c r="AE18" s="71"/>
      <c r="AF18" s="153">
        <v>0</v>
      </c>
      <c r="AG18" s="120">
        <f t="shared" si="7"/>
        <v>0</v>
      </c>
      <c r="AH18" s="120">
        <f t="shared" si="7"/>
        <v>0</v>
      </c>
      <c r="AI18" s="120">
        <f t="shared" si="7"/>
        <v>0</v>
      </c>
      <c r="AJ18" s="120">
        <f t="shared" si="7"/>
        <v>0</v>
      </c>
      <c r="AK18" s="92"/>
      <c r="AL18" s="134"/>
    </row>
    <row r="19" spans="2:38" s="113" customFormat="1" x14ac:dyDescent="0.2">
      <c r="B19" s="1073"/>
      <c r="C19" s="150"/>
      <c r="D19" s="50">
        <v>5</v>
      </c>
      <c r="E19" s="151" t="s">
        <v>787</v>
      </c>
      <c r="F19" s="1093" t="s">
        <v>312</v>
      </c>
      <c r="G19" s="1087"/>
      <c r="H19" s="1075">
        <v>0</v>
      </c>
      <c r="I19" s="1075">
        <f t="shared" si="5"/>
        <v>0</v>
      </c>
      <c r="J19" s="1075">
        <f t="shared" si="5"/>
        <v>0</v>
      </c>
      <c r="K19" s="1075">
        <f t="shared" si="5"/>
        <v>0</v>
      </c>
      <c r="L19" s="1075">
        <f t="shared" si="5"/>
        <v>0</v>
      </c>
      <c r="M19" s="71"/>
      <c r="N19" s="68">
        <f>H19*tab!F$15</f>
        <v>0</v>
      </c>
      <c r="O19" s="68">
        <f>I19*tab!G$15</f>
        <v>0</v>
      </c>
      <c r="P19" s="68">
        <f>J19*tab!H$15</f>
        <v>0</v>
      </c>
      <c r="Q19" s="68">
        <f>K19*tab!I$15</f>
        <v>0</v>
      </c>
      <c r="R19" s="68">
        <f>L19*tab!J$15</f>
        <v>0</v>
      </c>
      <c r="S19" s="71"/>
      <c r="T19" s="120">
        <v>0</v>
      </c>
      <c r="U19" s="120">
        <f t="shared" si="8"/>
        <v>0</v>
      </c>
      <c r="V19" s="120">
        <f t="shared" si="6"/>
        <v>0</v>
      </c>
      <c r="W19" s="120">
        <f t="shared" si="6"/>
        <v>0</v>
      </c>
      <c r="X19" s="120">
        <f t="shared" si="6"/>
        <v>0</v>
      </c>
      <c r="Y19" s="71"/>
      <c r="Z19" s="68">
        <f>+H19*tab!F$16</f>
        <v>0</v>
      </c>
      <c r="AA19" s="68">
        <f>+I19*tab!G$16</f>
        <v>0</v>
      </c>
      <c r="AB19" s="68">
        <f>+J19*tab!H$16</f>
        <v>0</v>
      </c>
      <c r="AC19" s="68">
        <f>+K19*tab!I$16</f>
        <v>0</v>
      </c>
      <c r="AD19" s="68">
        <f>+L19*tab!J$16</f>
        <v>0</v>
      </c>
      <c r="AE19" s="71"/>
      <c r="AF19" s="153">
        <v>0</v>
      </c>
      <c r="AG19" s="120">
        <f t="shared" si="7"/>
        <v>0</v>
      </c>
      <c r="AH19" s="120">
        <f t="shared" si="7"/>
        <v>0</v>
      </c>
      <c r="AI19" s="120">
        <f t="shared" si="7"/>
        <v>0</v>
      </c>
      <c r="AJ19" s="120">
        <f t="shared" si="7"/>
        <v>0</v>
      </c>
      <c r="AK19" s="92"/>
      <c r="AL19" s="134"/>
    </row>
    <row r="20" spans="2:38" s="113" customFormat="1" x14ac:dyDescent="0.2">
      <c r="B20" s="1073"/>
      <c r="C20" s="150"/>
      <c r="D20" s="50">
        <v>6</v>
      </c>
      <c r="E20" s="151" t="s">
        <v>788</v>
      </c>
      <c r="F20" s="1093" t="s">
        <v>312</v>
      </c>
      <c r="G20" s="1087"/>
      <c r="H20" s="1075">
        <v>0</v>
      </c>
      <c r="I20" s="1075">
        <f t="shared" si="5"/>
        <v>0</v>
      </c>
      <c r="J20" s="1075">
        <f t="shared" si="5"/>
        <v>0</v>
      </c>
      <c r="K20" s="1075">
        <f t="shared" si="5"/>
        <v>0</v>
      </c>
      <c r="L20" s="1075">
        <f t="shared" si="5"/>
        <v>0</v>
      </c>
      <c r="M20" s="71"/>
      <c r="N20" s="68">
        <f>H20*tab!F$15</f>
        <v>0</v>
      </c>
      <c r="O20" s="68">
        <f>I20*tab!G$15</f>
        <v>0</v>
      </c>
      <c r="P20" s="68">
        <f>J20*tab!H$15</f>
        <v>0</v>
      </c>
      <c r="Q20" s="68">
        <f>K20*tab!I$15</f>
        <v>0</v>
      </c>
      <c r="R20" s="68">
        <f>L20*tab!J$15</f>
        <v>0</v>
      </c>
      <c r="S20" s="71"/>
      <c r="T20" s="120">
        <v>0</v>
      </c>
      <c r="U20" s="120">
        <f t="shared" si="8"/>
        <v>0</v>
      </c>
      <c r="V20" s="120">
        <f t="shared" si="6"/>
        <v>0</v>
      </c>
      <c r="W20" s="120">
        <f t="shared" si="6"/>
        <v>0</v>
      </c>
      <c r="X20" s="120">
        <f t="shared" si="6"/>
        <v>0</v>
      </c>
      <c r="Y20" s="71"/>
      <c r="Z20" s="68">
        <f>+H20*tab!F$16</f>
        <v>0</v>
      </c>
      <c r="AA20" s="68">
        <f>+I20*tab!G$16</f>
        <v>0</v>
      </c>
      <c r="AB20" s="68">
        <f>+J20*tab!H$16</f>
        <v>0</v>
      </c>
      <c r="AC20" s="68">
        <f>+K20*tab!I$16</f>
        <v>0</v>
      </c>
      <c r="AD20" s="68">
        <f>+L20*tab!J$16</f>
        <v>0</v>
      </c>
      <c r="AE20" s="71"/>
      <c r="AF20" s="153">
        <v>0</v>
      </c>
      <c r="AG20" s="120">
        <f t="shared" si="7"/>
        <v>0</v>
      </c>
      <c r="AH20" s="120">
        <f t="shared" si="7"/>
        <v>0</v>
      </c>
      <c r="AI20" s="120">
        <f t="shared" si="7"/>
        <v>0</v>
      </c>
      <c r="AJ20" s="120">
        <f t="shared" si="7"/>
        <v>0</v>
      </c>
      <c r="AK20" s="92"/>
      <c r="AL20" s="134"/>
    </row>
    <row r="21" spans="2:38" s="113" customFormat="1" x14ac:dyDescent="0.2">
      <c r="B21" s="1073"/>
      <c r="C21" s="150"/>
      <c r="D21" s="50">
        <v>7</v>
      </c>
      <c r="E21" s="151" t="s">
        <v>789</v>
      </c>
      <c r="F21" s="1093" t="s">
        <v>312</v>
      </c>
      <c r="G21" s="1087"/>
      <c r="H21" s="1075">
        <v>0</v>
      </c>
      <c r="I21" s="1075">
        <f t="shared" si="5"/>
        <v>0</v>
      </c>
      <c r="J21" s="1075">
        <f t="shared" si="5"/>
        <v>0</v>
      </c>
      <c r="K21" s="1075">
        <f t="shared" si="5"/>
        <v>0</v>
      </c>
      <c r="L21" s="1075">
        <f t="shared" si="5"/>
        <v>0</v>
      </c>
      <c r="M21" s="71"/>
      <c r="N21" s="68">
        <f>H21*tab!F$15</f>
        <v>0</v>
      </c>
      <c r="O21" s="68">
        <f>I21*tab!G$15</f>
        <v>0</v>
      </c>
      <c r="P21" s="68">
        <f>J21*tab!H$15</f>
        <v>0</v>
      </c>
      <c r="Q21" s="68">
        <f>K21*tab!I$15</f>
        <v>0</v>
      </c>
      <c r="R21" s="68">
        <f>L21*tab!J$15</f>
        <v>0</v>
      </c>
      <c r="S21" s="71"/>
      <c r="T21" s="120">
        <v>0</v>
      </c>
      <c r="U21" s="120">
        <f t="shared" si="8"/>
        <v>0</v>
      </c>
      <c r="V21" s="120">
        <f t="shared" si="6"/>
        <v>0</v>
      </c>
      <c r="W21" s="120">
        <f t="shared" si="6"/>
        <v>0</v>
      </c>
      <c r="X21" s="120">
        <f t="shared" si="6"/>
        <v>0</v>
      </c>
      <c r="Y21" s="71"/>
      <c r="Z21" s="68">
        <f>+H21*tab!F$16</f>
        <v>0</v>
      </c>
      <c r="AA21" s="68">
        <f>+I21*tab!G$16</f>
        <v>0</v>
      </c>
      <c r="AB21" s="68">
        <f>+J21*tab!H$16</f>
        <v>0</v>
      </c>
      <c r="AC21" s="68">
        <f>+K21*tab!I$16</f>
        <v>0</v>
      </c>
      <c r="AD21" s="68">
        <f>+L21*tab!J$16</f>
        <v>0</v>
      </c>
      <c r="AE21" s="71"/>
      <c r="AF21" s="153">
        <v>0</v>
      </c>
      <c r="AG21" s="120">
        <f t="shared" si="7"/>
        <v>0</v>
      </c>
      <c r="AH21" s="120">
        <f t="shared" si="7"/>
        <v>0</v>
      </c>
      <c r="AI21" s="120">
        <f t="shared" si="7"/>
        <v>0</v>
      </c>
      <c r="AJ21" s="120">
        <f t="shared" si="7"/>
        <v>0</v>
      </c>
      <c r="AK21" s="92"/>
      <c r="AL21" s="134"/>
    </row>
    <row r="22" spans="2:38" s="113" customFormat="1" x14ac:dyDescent="0.2">
      <c r="B22" s="1073"/>
      <c r="C22" s="150"/>
      <c r="D22" s="50">
        <v>8</v>
      </c>
      <c r="E22" s="151" t="s">
        <v>790</v>
      </c>
      <c r="F22" s="1093" t="s">
        <v>312</v>
      </c>
      <c r="G22" s="1087"/>
      <c r="H22" s="1075">
        <v>0</v>
      </c>
      <c r="I22" s="1075">
        <f t="shared" si="5"/>
        <v>0</v>
      </c>
      <c r="J22" s="1075">
        <f t="shared" si="5"/>
        <v>0</v>
      </c>
      <c r="K22" s="1075">
        <f t="shared" si="5"/>
        <v>0</v>
      </c>
      <c r="L22" s="1075">
        <f t="shared" si="5"/>
        <v>0</v>
      </c>
      <c r="M22" s="71"/>
      <c r="N22" s="68">
        <f>H22*tab!F$15</f>
        <v>0</v>
      </c>
      <c r="O22" s="68">
        <f>I22*tab!G$15</f>
        <v>0</v>
      </c>
      <c r="P22" s="68">
        <f>J22*tab!H$15</f>
        <v>0</v>
      </c>
      <c r="Q22" s="68">
        <f>K22*tab!I$15</f>
        <v>0</v>
      </c>
      <c r="R22" s="68">
        <f>L22*tab!J$15</f>
        <v>0</v>
      </c>
      <c r="S22" s="71"/>
      <c r="T22" s="120">
        <v>0</v>
      </c>
      <c r="U22" s="120">
        <f t="shared" si="8"/>
        <v>0</v>
      </c>
      <c r="V22" s="120">
        <f t="shared" si="6"/>
        <v>0</v>
      </c>
      <c r="W22" s="120">
        <f t="shared" si="6"/>
        <v>0</v>
      </c>
      <c r="X22" s="120">
        <f t="shared" si="6"/>
        <v>0</v>
      </c>
      <c r="Y22" s="71"/>
      <c r="Z22" s="68">
        <f>+H22*tab!F$16</f>
        <v>0</v>
      </c>
      <c r="AA22" s="68">
        <f>+I22*tab!G$16</f>
        <v>0</v>
      </c>
      <c r="AB22" s="68">
        <f>+J22*tab!H$16</f>
        <v>0</v>
      </c>
      <c r="AC22" s="68">
        <f>+K22*tab!I$16</f>
        <v>0</v>
      </c>
      <c r="AD22" s="68">
        <f>+L22*tab!J$16</f>
        <v>0</v>
      </c>
      <c r="AE22" s="71"/>
      <c r="AF22" s="153">
        <v>0</v>
      </c>
      <c r="AG22" s="120">
        <f t="shared" si="7"/>
        <v>0</v>
      </c>
      <c r="AH22" s="120">
        <f t="shared" si="7"/>
        <v>0</v>
      </c>
      <c r="AI22" s="120">
        <f t="shared" si="7"/>
        <v>0</v>
      </c>
      <c r="AJ22" s="120">
        <f t="shared" si="7"/>
        <v>0</v>
      </c>
      <c r="AK22" s="92"/>
      <c r="AL22" s="134"/>
    </row>
    <row r="23" spans="2:38" s="113" customFormat="1" x14ac:dyDescent="0.2">
      <c r="B23" s="1073"/>
      <c r="C23" s="150"/>
      <c r="D23" s="50">
        <v>9</v>
      </c>
      <c r="E23" s="151" t="s">
        <v>791</v>
      </c>
      <c r="F23" s="1093" t="s">
        <v>312</v>
      </c>
      <c r="G23" s="1087"/>
      <c r="H23" s="1075">
        <v>0</v>
      </c>
      <c r="I23" s="1075">
        <f t="shared" si="5"/>
        <v>0</v>
      </c>
      <c r="J23" s="1075">
        <f t="shared" si="5"/>
        <v>0</v>
      </c>
      <c r="K23" s="1075">
        <f t="shared" si="5"/>
        <v>0</v>
      </c>
      <c r="L23" s="1075">
        <f t="shared" si="5"/>
        <v>0</v>
      </c>
      <c r="M23" s="71"/>
      <c r="N23" s="68">
        <f>H23*tab!F$15</f>
        <v>0</v>
      </c>
      <c r="O23" s="68">
        <f>I23*tab!G$15</f>
        <v>0</v>
      </c>
      <c r="P23" s="68">
        <f>J23*tab!H$15</f>
        <v>0</v>
      </c>
      <c r="Q23" s="68">
        <f>K23*tab!I$15</f>
        <v>0</v>
      </c>
      <c r="R23" s="68">
        <f>L23*tab!J$15</f>
        <v>0</v>
      </c>
      <c r="S23" s="71"/>
      <c r="T23" s="120">
        <v>0</v>
      </c>
      <c r="U23" s="120">
        <f t="shared" si="8"/>
        <v>0</v>
      </c>
      <c r="V23" s="120">
        <f t="shared" si="6"/>
        <v>0</v>
      </c>
      <c r="W23" s="120">
        <f t="shared" si="6"/>
        <v>0</v>
      </c>
      <c r="X23" s="120">
        <f t="shared" si="6"/>
        <v>0</v>
      </c>
      <c r="Y23" s="71"/>
      <c r="Z23" s="68">
        <f>+H23*tab!F$16</f>
        <v>0</v>
      </c>
      <c r="AA23" s="68">
        <f>+I23*tab!G$16</f>
        <v>0</v>
      </c>
      <c r="AB23" s="68">
        <f>+J23*tab!H$16</f>
        <v>0</v>
      </c>
      <c r="AC23" s="68">
        <f>+K23*tab!I$16</f>
        <v>0</v>
      </c>
      <c r="AD23" s="68">
        <f>+L23*tab!J$16</f>
        <v>0</v>
      </c>
      <c r="AE23" s="71"/>
      <c r="AF23" s="153">
        <v>0</v>
      </c>
      <c r="AG23" s="120">
        <f t="shared" si="7"/>
        <v>0</v>
      </c>
      <c r="AH23" s="120">
        <f t="shared" si="7"/>
        <v>0</v>
      </c>
      <c r="AI23" s="120">
        <f t="shared" si="7"/>
        <v>0</v>
      </c>
      <c r="AJ23" s="120">
        <f t="shared" si="7"/>
        <v>0</v>
      </c>
      <c r="AK23" s="92"/>
      <c r="AL23" s="134"/>
    </row>
    <row r="24" spans="2:38" s="113" customFormat="1" x14ac:dyDescent="0.2">
      <c r="B24" s="1073"/>
      <c r="C24" s="150"/>
      <c r="D24" s="50">
        <v>10</v>
      </c>
      <c r="E24" s="151" t="s">
        <v>792</v>
      </c>
      <c r="F24" s="1093" t="s">
        <v>312</v>
      </c>
      <c r="G24" s="1087"/>
      <c r="H24" s="1075">
        <v>0</v>
      </c>
      <c r="I24" s="1075">
        <f t="shared" si="5"/>
        <v>0</v>
      </c>
      <c r="J24" s="1075">
        <f t="shared" si="5"/>
        <v>0</v>
      </c>
      <c r="K24" s="1075">
        <f t="shared" si="5"/>
        <v>0</v>
      </c>
      <c r="L24" s="1075">
        <f t="shared" si="5"/>
        <v>0</v>
      </c>
      <c r="M24" s="71"/>
      <c r="N24" s="68">
        <f>H24*tab!F$15</f>
        <v>0</v>
      </c>
      <c r="O24" s="68">
        <f>I24*tab!G$15</f>
        <v>0</v>
      </c>
      <c r="P24" s="68">
        <f>J24*tab!H$15</f>
        <v>0</v>
      </c>
      <c r="Q24" s="68">
        <f>K24*tab!I$15</f>
        <v>0</v>
      </c>
      <c r="R24" s="68">
        <f>L24*tab!J$15</f>
        <v>0</v>
      </c>
      <c r="S24" s="71"/>
      <c r="T24" s="120">
        <v>0</v>
      </c>
      <c r="U24" s="120">
        <f t="shared" si="8"/>
        <v>0</v>
      </c>
      <c r="V24" s="120">
        <f t="shared" si="6"/>
        <v>0</v>
      </c>
      <c r="W24" s="120">
        <f t="shared" si="6"/>
        <v>0</v>
      </c>
      <c r="X24" s="120">
        <f t="shared" si="6"/>
        <v>0</v>
      </c>
      <c r="Y24" s="71"/>
      <c r="Z24" s="68">
        <f>+H24*tab!F$16</f>
        <v>0</v>
      </c>
      <c r="AA24" s="68">
        <f>+I24*tab!G$16</f>
        <v>0</v>
      </c>
      <c r="AB24" s="68">
        <f>+J24*tab!H$16</f>
        <v>0</v>
      </c>
      <c r="AC24" s="68">
        <f>+K24*tab!I$16</f>
        <v>0</v>
      </c>
      <c r="AD24" s="68">
        <f>+L24*tab!J$16</f>
        <v>0</v>
      </c>
      <c r="AE24" s="71"/>
      <c r="AF24" s="153">
        <v>0</v>
      </c>
      <c r="AG24" s="120">
        <f t="shared" si="7"/>
        <v>0</v>
      </c>
      <c r="AH24" s="120">
        <f t="shared" si="7"/>
        <v>0</v>
      </c>
      <c r="AI24" s="120">
        <f t="shared" si="7"/>
        <v>0</v>
      </c>
      <c r="AJ24" s="120">
        <f t="shared" si="7"/>
        <v>0</v>
      </c>
      <c r="AK24" s="92"/>
      <c r="AL24" s="134"/>
    </row>
    <row r="25" spans="2:38" s="113" customFormat="1" x14ac:dyDescent="0.2">
      <c r="B25" s="1073"/>
      <c r="C25" s="150"/>
      <c r="D25" s="50">
        <v>11</v>
      </c>
      <c r="E25" s="151" t="s">
        <v>793</v>
      </c>
      <c r="F25" s="1093" t="s">
        <v>312</v>
      </c>
      <c r="G25" s="1087"/>
      <c r="H25" s="1075">
        <v>0</v>
      </c>
      <c r="I25" s="1075">
        <f t="shared" si="5"/>
        <v>0</v>
      </c>
      <c r="J25" s="1075">
        <f t="shared" si="5"/>
        <v>0</v>
      </c>
      <c r="K25" s="1075">
        <f t="shared" si="5"/>
        <v>0</v>
      </c>
      <c r="L25" s="1075">
        <f t="shared" si="5"/>
        <v>0</v>
      </c>
      <c r="M25" s="71"/>
      <c r="N25" s="68">
        <f>H25*tab!F$15</f>
        <v>0</v>
      </c>
      <c r="O25" s="68">
        <f>I25*tab!G$15</f>
        <v>0</v>
      </c>
      <c r="P25" s="68">
        <f>J25*tab!H$15</f>
        <v>0</v>
      </c>
      <c r="Q25" s="68">
        <f>K25*tab!I$15</f>
        <v>0</v>
      </c>
      <c r="R25" s="68">
        <f>L25*tab!J$15</f>
        <v>0</v>
      </c>
      <c r="S25" s="71"/>
      <c r="T25" s="120">
        <v>0</v>
      </c>
      <c r="U25" s="120">
        <f t="shared" si="8"/>
        <v>0</v>
      </c>
      <c r="V25" s="120">
        <f t="shared" si="6"/>
        <v>0</v>
      </c>
      <c r="W25" s="120">
        <f t="shared" si="6"/>
        <v>0</v>
      </c>
      <c r="X25" s="120">
        <f t="shared" si="6"/>
        <v>0</v>
      </c>
      <c r="Y25" s="71"/>
      <c r="Z25" s="68">
        <f>+H25*tab!F$16</f>
        <v>0</v>
      </c>
      <c r="AA25" s="68">
        <f>+I25*tab!G$16</f>
        <v>0</v>
      </c>
      <c r="AB25" s="68">
        <f>+J25*tab!H$16</f>
        <v>0</v>
      </c>
      <c r="AC25" s="68">
        <f>+K25*tab!I$16</f>
        <v>0</v>
      </c>
      <c r="AD25" s="68">
        <f>+L25*tab!J$16</f>
        <v>0</v>
      </c>
      <c r="AE25" s="71"/>
      <c r="AF25" s="153">
        <v>0</v>
      </c>
      <c r="AG25" s="120">
        <f t="shared" si="7"/>
        <v>0</v>
      </c>
      <c r="AH25" s="120">
        <f t="shared" si="7"/>
        <v>0</v>
      </c>
      <c r="AI25" s="120">
        <f t="shared" si="7"/>
        <v>0</v>
      </c>
      <c r="AJ25" s="120">
        <f t="shared" si="7"/>
        <v>0</v>
      </c>
      <c r="AK25" s="92"/>
      <c r="AL25" s="134"/>
    </row>
    <row r="26" spans="2:38" s="113" customFormat="1" x14ac:dyDescent="0.2">
      <c r="B26" s="1073"/>
      <c r="C26" s="150"/>
      <c r="D26" s="50">
        <v>12</v>
      </c>
      <c r="E26" s="151" t="s">
        <v>794</v>
      </c>
      <c r="F26" s="1093" t="s">
        <v>312</v>
      </c>
      <c r="G26" s="1087"/>
      <c r="H26" s="1075">
        <v>0</v>
      </c>
      <c r="I26" s="1075">
        <f t="shared" si="5"/>
        <v>0</v>
      </c>
      <c r="J26" s="1075">
        <f t="shared" si="5"/>
        <v>0</v>
      </c>
      <c r="K26" s="1075">
        <f t="shared" si="5"/>
        <v>0</v>
      </c>
      <c r="L26" s="1075">
        <f t="shared" si="5"/>
        <v>0</v>
      </c>
      <c r="M26" s="71"/>
      <c r="N26" s="68">
        <f>H26*tab!F$15</f>
        <v>0</v>
      </c>
      <c r="O26" s="68">
        <f>I26*tab!G$15</f>
        <v>0</v>
      </c>
      <c r="P26" s="68">
        <f>J26*tab!H$15</f>
        <v>0</v>
      </c>
      <c r="Q26" s="68">
        <f>K26*tab!I$15</f>
        <v>0</v>
      </c>
      <c r="R26" s="68">
        <f>L26*tab!J$15</f>
        <v>0</v>
      </c>
      <c r="S26" s="71"/>
      <c r="T26" s="120">
        <v>0</v>
      </c>
      <c r="U26" s="120">
        <f t="shared" si="8"/>
        <v>0</v>
      </c>
      <c r="V26" s="120">
        <f t="shared" si="6"/>
        <v>0</v>
      </c>
      <c r="W26" s="120">
        <f t="shared" si="6"/>
        <v>0</v>
      </c>
      <c r="X26" s="120">
        <f t="shared" si="6"/>
        <v>0</v>
      </c>
      <c r="Y26" s="71"/>
      <c r="Z26" s="68">
        <f>+H26*tab!F$16</f>
        <v>0</v>
      </c>
      <c r="AA26" s="68">
        <f>+I26*tab!G$16</f>
        <v>0</v>
      </c>
      <c r="AB26" s="68">
        <f>+J26*tab!H$16</f>
        <v>0</v>
      </c>
      <c r="AC26" s="68">
        <f>+K26*tab!I$16</f>
        <v>0</v>
      </c>
      <c r="AD26" s="68">
        <f>+L26*tab!J$16</f>
        <v>0</v>
      </c>
      <c r="AE26" s="71"/>
      <c r="AF26" s="153">
        <v>0</v>
      </c>
      <c r="AG26" s="120">
        <f t="shared" si="7"/>
        <v>0</v>
      </c>
      <c r="AH26" s="120">
        <f t="shared" si="7"/>
        <v>0</v>
      </c>
      <c r="AI26" s="120">
        <f t="shared" si="7"/>
        <v>0</v>
      </c>
      <c r="AJ26" s="120">
        <f t="shared" si="7"/>
        <v>0</v>
      </c>
      <c r="AK26" s="92"/>
      <c r="AL26" s="134"/>
    </row>
    <row r="27" spans="2:38" s="113" customFormat="1" x14ac:dyDescent="0.2">
      <c r="B27" s="1073"/>
      <c r="C27" s="150"/>
      <c r="D27" s="50">
        <v>13</v>
      </c>
      <c r="E27" s="151" t="s">
        <v>795</v>
      </c>
      <c r="F27" s="1093" t="s">
        <v>312</v>
      </c>
      <c r="G27" s="1087"/>
      <c r="H27" s="1075">
        <v>0</v>
      </c>
      <c r="I27" s="1075">
        <f t="shared" si="5"/>
        <v>0</v>
      </c>
      <c r="J27" s="1075">
        <f t="shared" si="5"/>
        <v>0</v>
      </c>
      <c r="K27" s="1075">
        <f t="shared" si="5"/>
        <v>0</v>
      </c>
      <c r="L27" s="1075">
        <f t="shared" si="5"/>
        <v>0</v>
      </c>
      <c r="M27" s="71"/>
      <c r="N27" s="68">
        <f>H27*tab!F$15</f>
        <v>0</v>
      </c>
      <c r="O27" s="68">
        <f>I27*tab!G$15</f>
        <v>0</v>
      </c>
      <c r="P27" s="68">
        <f>J27*tab!H$15</f>
        <v>0</v>
      </c>
      <c r="Q27" s="68">
        <f>K27*tab!I$15</f>
        <v>0</v>
      </c>
      <c r="R27" s="68">
        <f>L27*tab!J$15</f>
        <v>0</v>
      </c>
      <c r="S27" s="71"/>
      <c r="T27" s="120">
        <v>0</v>
      </c>
      <c r="U27" s="120">
        <f t="shared" si="8"/>
        <v>0</v>
      </c>
      <c r="V27" s="120">
        <f t="shared" si="6"/>
        <v>0</v>
      </c>
      <c r="W27" s="120">
        <f t="shared" si="6"/>
        <v>0</v>
      </c>
      <c r="X27" s="120">
        <f t="shared" si="6"/>
        <v>0</v>
      </c>
      <c r="Y27" s="71"/>
      <c r="Z27" s="68">
        <f>+H27*tab!F$16</f>
        <v>0</v>
      </c>
      <c r="AA27" s="68">
        <f>+I27*tab!G$16</f>
        <v>0</v>
      </c>
      <c r="AB27" s="68">
        <f>+J27*tab!H$16</f>
        <v>0</v>
      </c>
      <c r="AC27" s="68">
        <f>+K27*tab!I$16</f>
        <v>0</v>
      </c>
      <c r="AD27" s="68">
        <f>+L27*tab!J$16</f>
        <v>0</v>
      </c>
      <c r="AE27" s="71"/>
      <c r="AF27" s="153">
        <v>0</v>
      </c>
      <c r="AG27" s="120">
        <f t="shared" si="7"/>
        <v>0</v>
      </c>
      <c r="AH27" s="120">
        <f t="shared" si="7"/>
        <v>0</v>
      </c>
      <c r="AI27" s="120">
        <f t="shared" si="7"/>
        <v>0</v>
      </c>
      <c r="AJ27" s="120">
        <f t="shared" si="7"/>
        <v>0</v>
      </c>
      <c r="AK27" s="92"/>
      <c r="AL27" s="134"/>
    </row>
    <row r="28" spans="2:38" s="113" customFormat="1" x14ac:dyDescent="0.2">
      <c r="B28" s="1073"/>
      <c r="C28" s="150"/>
      <c r="D28" s="50">
        <v>14</v>
      </c>
      <c r="E28" s="151" t="s">
        <v>796</v>
      </c>
      <c r="F28" s="1093" t="s">
        <v>312</v>
      </c>
      <c r="G28" s="1087"/>
      <c r="H28" s="1075">
        <v>0</v>
      </c>
      <c r="I28" s="1075">
        <f t="shared" si="5"/>
        <v>0</v>
      </c>
      <c r="J28" s="1075">
        <f t="shared" si="5"/>
        <v>0</v>
      </c>
      <c r="K28" s="1075">
        <f t="shared" si="5"/>
        <v>0</v>
      </c>
      <c r="L28" s="1075">
        <f t="shared" si="5"/>
        <v>0</v>
      </c>
      <c r="M28" s="71"/>
      <c r="N28" s="68">
        <f>H28*tab!F$15</f>
        <v>0</v>
      </c>
      <c r="O28" s="68">
        <f>I28*tab!G$15</f>
        <v>0</v>
      </c>
      <c r="P28" s="68">
        <f>J28*tab!H$15</f>
        <v>0</v>
      </c>
      <c r="Q28" s="68">
        <f>K28*tab!I$15</f>
        <v>0</v>
      </c>
      <c r="R28" s="68">
        <f>L28*tab!J$15</f>
        <v>0</v>
      </c>
      <c r="S28" s="71"/>
      <c r="T28" s="120">
        <v>0</v>
      </c>
      <c r="U28" s="120">
        <f t="shared" si="8"/>
        <v>0</v>
      </c>
      <c r="V28" s="120">
        <f t="shared" si="6"/>
        <v>0</v>
      </c>
      <c r="W28" s="120">
        <f t="shared" si="6"/>
        <v>0</v>
      </c>
      <c r="X28" s="120">
        <f t="shared" si="6"/>
        <v>0</v>
      </c>
      <c r="Y28" s="71"/>
      <c r="Z28" s="68">
        <f>+H28*tab!F$16</f>
        <v>0</v>
      </c>
      <c r="AA28" s="68">
        <f>+I28*tab!G$16</f>
        <v>0</v>
      </c>
      <c r="AB28" s="68">
        <f>+J28*tab!H$16</f>
        <v>0</v>
      </c>
      <c r="AC28" s="68">
        <f>+K28*tab!I$16</f>
        <v>0</v>
      </c>
      <c r="AD28" s="68">
        <f>+L28*tab!J$16</f>
        <v>0</v>
      </c>
      <c r="AE28" s="71"/>
      <c r="AF28" s="153">
        <v>0</v>
      </c>
      <c r="AG28" s="120">
        <f t="shared" si="7"/>
        <v>0</v>
      </c>
      <c r="AH28" s="120">
        <f t="shared" si="7"/>
        <v>0</v>
      </c>
      <c r="AI28" s="120">
        <f t="shared" si="7"/>
        <v>0</v>
      </c>
      <c r="AJ28" s="120">
        <f t="shared" si="7"/>
        <v>0</v>
      </c>
      <c r="AK28" s="92"/>
      <c r="AL28" s="134"/>
    </row>
    <row r="29" spans="2:38" s="113" customFormat="1" x14ac:dyDescent="0.2">
      <c r="B29" s="1073"/>
      <c r="C29" s="150"/>
      <c r="D29" s="50">
        <v>15</v>
      </c>
      <c r="E29" s="151" t="s">
        <v>797</v>
      </c>
      <c r="F29" s="1093" t="s">
        <v>312</v>
      </c>
      <c r="G29" s="1087"/>
      <c r="H29" s="1075">
        <v>0</v>
      </c>
      <c r="I29" s="1075">
        <f t="shared" si="5"/>
        <v>0</v>
      </c>
      <c r="J29" s="1075">
        <f t="shared" si="5"/>
        <v>0</v>
      </c>
      <c r="K29" s="1075">
        <f t="shared" si="5"/>
        <v>0</v>
      </c>
      <c r="L29" s="1075">
        <f t="shared" si="5"/>
        <v>0</v>
      </c>
      <c r="M29" s="71"/>
      <c r="N29" s="68">
        <f>H29*tab!F$15</f>
        <v>0</v>
      </c>
      <c r="O29" s="68">
        <f>I29*tab!G$15</f>
        <v>0</v>
      </c>
      <c r="P29" s="68">
        <f>J29*tab!H$15</f>
        <v>0</v>
      </c>
      <c r="Q29" s="68">
        <f>K29*tab!I$15</f>
        <v>0</v>
      </c>
      <c r="R29" s="68">
        <f>L29*tab!J$15</f>
        <v>0</v>
      </c>
      <c r="S29" s="71"/>
      <c r="T29" s="120">
        <v>0</v>
      </c>
      <c r="U29" s="120">
        <f t="shared" si="8"/>
        <v>0</v>
      </c>
      <c r="V29" s="120">
        <f t="shared" si="6"/>
        <v>0</v>
      </c>
      <c r="W29" s="120">
        <f t="shared" si="6"/>
        <v>0</v>
      </c>
      <c r="X29" s="120">
        <f t="shared" si="6"/>
        <v>0</v>
      </c>
      <c r="Y29" s="71"/>
      <c r="Z29" s="68">
        <f>+H29*tab!F$16</f>
        <v>0</v>
      </c>
      <c r="AA29" s="68">
        <f>+I29*tab!G$16</f>
        <v>0</v>
      </c>
      <c r="AB29" s="68">
        <f>+J29*tab!H$16</f>
        <v>0</v>
      </c>
      <c r="AC29" s="68">
        <f>+K29*tab!I$16</f>
        <v>0</v>
      </c>
      <c r="AD29" s="68">
        <f>+L29*tab!J$16</f>
        <v>0</v>
      </c>
      <c r="AE29" s="71"/>
      <c r="AF29" s="153">
        <v>0</v>
      </c>
      <c r="AG29" s="120">
        <f t="shared" si="7"/>
        <v>0</v>
      </c>
      <c r="AH29" s="120">
        <f t="shared" si="7"/>
        <v>0</v>
      </c>
      <c r="AI29" s="120">
        <f t="shared" si="7"/>
        <v>0</v>
      </c>
      <c r="AJ29" s="120">
        <f t="shared" si="7"/>
        <v>0</v>
      </c>
      <c r="AK29" s="92"/>
      <c r="AL29" s="134"/>
    </row>
    <row r="30" spans="2:38" s="113" customFormat="1" x14ac:dyDescent="0.2">
      <c r="B30" s="1073"/>
      <c r="C30" s="150"/>
      <c r="D30" s="50">
        <v>16</v>
      </c>
      <c r="E30" s="151" t="s">
        <v>798</v>
      </c>
      <c r="F30" s="1093" t="s">
        <v>312</v>
      </c>
      <c r="G30" s="1087"/>
      <c r="H30" s="1075">
        <v>0</v>
      </c>
      <c r="I30" s="1075">
        <f t="shared" si="5"/>
        <v>0</v>
      </c>
      <c r="J30" s="1075">
        <f t="shared" si="5"/>
        <v>0</v>
      </c>
      <c r="K30" s="1075">
        <f t="shared" si="5"/>
        <v>0</v>
      </c>
      <c r="L30" s="1075">
        <f t="shared" si="5"/>
        <v>0</v>
      </c>
      <c r="M30" s="71"/>
      <c r="N30" s="68">
        <f>H30*tab!F$15</f>
        <v>0</v>
      </c>
      <c r="O30" s="68">
        <f>I30*tab!G$15</f>
        <v>0</v>
      </c>
      <c r="P30" s="68">
        <f>J30*tab!H$15</f>
        <v>0</v>
      </c>
      <c r="Q30" s="68">
        <f>K30*tab!I$15</f>
        <v>0</v>
      </c>
      <c r="R30" s="68">
        <f>L30*tab!J$15</f>
        <v>0</v>
      </c>
      <c r="S30" s="71"/>
      <c r="T30" s="120">
        <v>0</v>
      </c>
      <c r="U30" s="120">
        <f t="shared" si="8"/>
        <v>0</v>
      </c>
      <c r="V30" s="120">
        <f t="shared" si="6"/>
        <v>0</v>
      </c>
      <c r="W30" s="120">
        <f t="shared" si="6"/>
        <v>0</v>
      </c>
      <c r="X30" s="120">
        <f t="shared" si="6"/>
        <v>0</v>
      </c>
      <c r="Y30" s="71"/>
      <c r="Z30" s="68">
        <f>+H30*tab!F$16</f>
        <v>0</v>
      </c>
      <c r="AA30" s="68">
        <f>+I30*tab!G$16</f>
        <v>0</v>
      </c>
      <c r="AB30" s="68">
        <f>+J30*tab!H$16</f>
        <v>0</v>
      </c>
      <c r="AC30" s="68">
        <f>+K30*tab!I$16</f>
        <v>0</v>
      </c>
      <c r="AD30" s="68">
        <f>+L30*tab!J$16</f>
        <v>0</v>
      </c>
      <c r="AE30" s="71"/>
      <c r="AF30" s="153">
        <v>0</v>
      </c>
      <c r="AG30" s="120">
        <f t="shared" si="7"/>
        <v>0</v>
      </c>
      <c r="AH30" s="120">
        <f t="shared" si="7"/>
        <v>0</v>
      </c>
      <c r="AI30" s="120">
        <f t="shared" si="7"/>
        <v>0</v>
      </c>
      <c r="AJ30" s="120">
        <f t="shared" si="7"/>
        <v>0</v>
      </c>
      <c r="AK30" s="92"/>
      <c r="AL30" s="134"/>
    </row>
    <row r="31" spans="2:38" s="113" customFormat="1" x14ac:dyDescent="0.2">
      <c r="B31" s="1073"/>
      <c r="C31" s="150"/>
      <c r="D31" s="50">
        <v>17</v>
      </c>
      <c r="E31" s="151" t="s">
        <v>799</v>
      </c>
      <c r="F31" s="1093" t="s">
        <v>312</v>
      </c>
      <c r="G31" s="1087"/>
      <c r="H31" s="1075">
        <v>0</v>
      </c>
      <c r="I31" s="1075">
        <f t="shared" ref="I31:I37" si="9">+H31</f>
        <v>0</v>
      </c>
      <c r="J31" s="1075">
        <f t="shared" ref="J31:J37" si="10">+I31</f>
        <v>0</v>
      </c>
      <c r="K31" s="1075">
        <f t="shared" ref="K31:K37" si="11">+J31</f>
        <v>0</v>
      </c>
      <c r="L31" s="1075">
        <f t="shared" ref="L31:L37" si="12">+K31</f>
        <v>0</v>
      </c>
      <c r="M31" s="71"/>
      <c r="N31" s="68">
        <f>H31*tab!F$15</f>
        <v>0</v>
      </c>
      <c r="O31" s="68">
        <f>I31*tab!G$15</f>
        <v>0</v>
      </c>
      <c r="P31" s="68">
        <f>J31*tab!H$15</f>
        <v>0</v>
      </c>
      <c r="Q31" s="68">
        <f>K31*tab!I$15</f>
        <v>0</v>
      </c>
      <c r="R31" s="68">
        <f>L31*tab!J$15</f>
        <v>0</v>
      </c>
      <c r="S31" s="71"/>
      <c r="T31" s="120">
        <v>0</v>
      </c>
      <c r="U31" s="120">
        <f t="shared" si="8"/>
        <v>0</v>
      </c>
      <c r="V31" s="120">
        <f t="shared" ref="V31:X46" si="13">U31</f>
        <v>0</v>
      </c>
      <c r="W31" s="120">
        <f t="shared" si="13"/>
        <v>0</v>
      </c>
      <c r="X31" s="120">
        <f t="shared" si="13"/>
        <v>0</v>
      </c>
      <c r="Y31" s="71"/>
      <c r="Z31" s="68">
        <f>+H31*tab!F$16</f>
        <v>0</v>
      </c>
      <c r="AA31" s="68">
        <f>+I31*tab!G$16</f>
        <v>0</v>
      </c>
      <c r="AB31" s="68">
        <f>+J31*tab!H$16</f>
        <v>0</v>
      </c>
      <c r="AC31" s="68">
        <f>+K31*tab!I$16</f>
        <v>0</v>
      </c>
      <c r="AD31" s="68">
        <f>+L31*tab!J$16</f>
        <v>0</v>
      </c>
      <c r="AE31" s="71"/>
      <c r="AF31" s="153">
        <v>0</v>
      </c>
      <c r="AG31" s="120">
        <f>AF31</f>
        <v>0</v>
      </c>
      <c r="AH31" s="120">
        <f>AG31</f>
        <v>0</v>
      </c>
      <c r="AI31" s="120">
        <f t="shared" ref="AI31:AJ94" si="14">AH31</f>
        <v>0</v>
      </c>
      <c r="AJ31" s="120">
        <f t="shared" si="14"/>
        <v>0</v>
      </c>
      <c r="AK31" s="92"/>
      <c r="AL31" s="134"/>
    </row>
    <row r="32" spans="2:38" s="113" customFormat="1" x14ac:dyDescent="0.2">
      <c r="B32" s="1073"/>
      <c r="C32" s="150"/>
      <c r="D32" s="50">
        <v>18</v>
      </c>
      <c r="E32" s="151" t="s">
        <v>800</v>
      </c>
      <c r="F32" s="1093" t="s">
        <v>312</v>
      </c>
      <c r="G32" s="1087"/>
      <c r="H32" s="1075">
        <v>0</v>
      </c>
      <c r="I32" s="1075">
        <f t="shared" si="9"/>
        <v>0</v>
      </c>
      <c r="J32" s="1075">
        <f t="shared" si="10"/>
        <v>0</v>
      </c>
      <c r="K32" s="1075">
        <f t="shared" si="11"/>
        <v>0</v>
      </c>
      <c r="L32" s="1075">
        <f t="shared" si="12"/>
        <v>0</v>
      </c>
      <c r="M32" s="71"/>
      <c r="N32" s="68">
        <f>H32*tab!F$15</f>
        <v>0</v>
      </c>
      <c r="O32" s="68">
        <f>I32*tab!G$15</f>
        <v>0</v>
      </c>
      <c r="P32" s="68">
        <f>J32*tab!H$15</f>
        <v>0</v>
      </c>
      <c r="Q32" s="68">
        <f>K32*tab!I$15</f>
        <v>0</v>
      </c>
      <c r="R32" s="68">
        <f>L32*tab!J$15</f>
        <v>0</v>
      </c>
      <c r="S32" s="71"/>
      <c r="T32" s="120">
        <v>0</v>
      </c>
      <c r="U32" s="120">
        <f t="shared" si="8"/>
        <v>0</v>
      </c>
      <c r="V32" s="120">
        <f t="shared" si="13"/>
        <v>0</v>
      </c>
      <c r="W32" s="120">
        <f t="shared" si="13"/>
        <v>0</v>
      </c>
      <c r="X32" s="120">
        <f t="shared" si="13"/>
        <v>0</v>
      </c>
      <c r="Y32" s="71"/>
      <c r="Z32" s="68">
        <f>+H32*tab!F$16</f>
        <v>0</v>
      </c>
      <c r="AA32" s="68">
        <f>+I32*tab!G$16</f>
        <v>0</v>
      </c>
      <c r="AB32" s="68">
        <f>+J32*tab!H$16</f>
        <v>0</v>
      </c>
      <c r="AC32" s="68">
        <f>+K32*tab!I$16</f>
        <v>0</v>
      </c>
      <c r="AD32" s="68">
        <f>+L32*tab!J$16</f>
        <v>0</v>
      </c>
      <c r="AE32" s="71"/>
      <c r="AF32" s="153">
        <v>0</v>
      </c>
      <c r="AG32" s="120">
        <f t="shared" ref="AG32:AH47" si="15">AF32</f>
        <v>0</v>
      </c>
      <c r="AH32" s="120">
        <f t="shared" si="15"/>
        <v>0</v>
      </c>
      <c r="AI32" s="120">
        <f t="shared" si="14"/>
        <v>0</v>
      </c>
      <c r="AJ32" s="120">
        <f t="shared" si="14"/>
        <v>0</v>
      </c>
      <c r="AK32" s="92"/>
      <c r="AL32" s="134"/>
    </row>
    <row r="33" spans="2:38" s="113" customFormat="1" x14ac:dyDescent="0.2">
      <c r="B33" s="1073"/>
      <c r="C33" s="150"/>
      <c r="D33" s="50">
        <v>19</v>
      </c>
      <c r="E33" s="151" t="s">
        <v>801</v>
      </c>
      <c r="F33" s="1093" t="s">
        <v>312</v>
      </c>
      <c r="G33" s="1087"/>
      <c r="H33" s="1075">
        <v>0</v>
      </c>
      <c r="I33" s="1075">
        <f t="shared" si="9"/>
        <v>0</v>
      </c>
      <c r="J33" s="1075">
        <f t="shared" si="10"/>
        <v>0</v>
      </c>
      <c r="K33" s="1075">
        <f t="shared" si="11"/>
        <v>0</v>
      </c>
      <c r="L33" s="1075">
        <f t="shared" si="12"/>
        <v>0</v>
      </c>
      <c r="M33" s="71"/>
      <c r="N33" s="68">
        <f>H33*tab!F$15</f>
        <v>0</v>
      </c>
      <c r="O33" s="68">
        <f>I33*tab!G$15</f>
        <v>0</v>
      </c>
      <c r="P33" s="68">
        <f>J33*tab!H$15</f>
        <v>0</v>
      </c>
      <c r="Q33" s="68">
        <f>K33*tab!I$15</f>
        <v>0</v>
      </c>
      <c r="R33" s="68">
        <f>L33*tab!J$15</f>
        <v>0</v>
      </c>
      <c r="S33" s="71"/>
      <c r="T33" s="120">
        <v>0</v>
      </c>
      <c r="U33" s="120">
        <f t="shared" si="8"/>
        <v>0</v>
      </c>
      <c r="V33" s="120">
        <f t="shared" si="13"/>
        <v>0</v>
      </c>
      <c r="W33" s="120">
        <f t="shared" si="13"/>
        <v>0</v>
      </c>
      <c r="X33" s="120">
        <f t="shared" si="13"/>
        <v>0</v>
      </c>
      <c r="Y33" s="71"/>
      <c r="Z33" s="68">
        <f>+H33*tab!F$16</f>
        <v>0</v>
      </c>
      <c r="AA33" s="68">
        <f>+I33*tab!G$16</f>
        <v>0</v>
      </c>
      <c r="AB33" s="68">
        <f>+J33*tab!H$16</f>
        <v>0</v>
      </c>
      <c r="AC33" s="68">
        <f>+K33*tab!I$16</f>
        <v>0</v>
      </c>
      <c r="AD33" s="68">
        <f>+L33*tab!J$16</f>
        <v>0</v>
      </c>
      <c r="AE33" s="71"/>
      <c r="AF33" s="153">
        <v>0</v>
      </c>
      <c r="AG33" s="120">
        <f t="shared" si="15"/>
        <v>0</v>
      </c>
      <c r="AH33" s="120">
        <f t="shared" si="15"/>
        <v>0</v>
      </c>
      <c r="AI33" s="120">
        <f t="shared" si="14"/>
        <v>0</v>
      </c>
      <c r="AJ33" s="120">
        <f t="shared" si="14"/>
        <v>0</v>
      </c>
      <c r="AK33" s="92"/>
      <c r="AL33" s="134"/>
    </row>
    <row r="34" spans="2:38" s="113" customFormat="1" x14ac:dyDescent="0.2">
      <c r="B34" s="1073"/>
      <c r="C34" s="150"/>
      <c r="D34" s="50">
        <v>20</v>
      </c>
      <c r="E34" s="151" t="s">
        <v>802</v>
      </c>
      <c r="F34" s="1093" t="s">
        <v>312</v>
      </c>
      <c r="G34" s="1087"/>
      <c r="H34" s="1075">
        <v>0</v>
      </c>
      <c r="I34" s="1075">
        <f t="shared" si="9"/>
        <v>0</v>
      </c>
      <c r="J34" s="1075">
        <f t="shared" si="10"/>
        <v>0</v>
      </c>
      <c r="K34" s="1075">
        <f t="shared" si="11"/>
        <v>0</v>
      </c>
      <c r="L34" s="1075">
        <f t="shared" si="12"/>
        <v>0</v>
      </c>
      <c r="M34" s="71"/>
      <c r="N34" s="68">
        <f>H34*tab!F$15</f>
        <v>0</v>
      </c>
      <c r="O34" s="68">
        <f>I34*tab!G$15</f>
        <v>0</v>
      </c>
      <c r="P34" s="68">
        <f>J34*tab!H$15</f>
        <v>0</v>
      </c>
      <c r="Q34" s="68">
        <f>K34*tab!I$15</f>
        <v>0</v>
      </c>
      <c r="R34" s="68">
        <f>L34*tab!J$15</f>
        <v>0</v>
      </c>
      <c r="S34" s="71"/>
      <c r="T34" s="120">
        <v>0</v>
      </c>
      <c r="U34" s="120">
        <f t="shared" si="8"/>
        <v>0</v>
      </c>
      <c r="V34" s="120">
        <f t="shared" si="13"/>
        <v>0</v>
      </c>
      <c r="W34" s="120">
        <f t="shared" si="13"/>
        <v>0</v>
      </c>
      <c r="X34" s="120">
        <f t="shared" si="13"/>
        <v>0</v>
      </c>
      <c r="Y34" s="71"/>
      <c r="Z34" s="68">
        <f>+H34*tab!F$16</f>
        <v>0</v>
      </c>
      <c r="AA34" s="68">
        <f>+I34*tab!G$16</f>
        <v>0</v>
      </c>
      <c r="AB34" s="68">
        <f>+J34*tab!H$16</f>
        <v>0</v>
      </c>
      <c r="AC34" s="68">
        <f>+K34*tab!I$16</f>
        <v>0</v>
      </c>
      <c r="AD34" s="68">
        <f>+L34*tab!J$16</f>
        <v>0</v>
      </c>
      <c r="AE34" s="71"/>
      <c r="AF34" s="153">
        <v>0</v>
      </c>
      <c r="AG34" s="120">
        <f t="shared" si="15"/>
        <v>0</v>
      </c>
      <c r="AH34" s="120">
        <f t="shared" si="15"/>
        <v>0</v>
      </c>
      <c r="AI34" s="120">
        <f t="shared" si="14"/>
        <v>0</v>
      </c>
      <c r="AJ34" s="120">
        <f t="shared" si="14"/>
        <v>0</v>
      </c>
      <c r="AK34" s="92"/>
      <c r="AL34" s="134"/>
    </row>
    <row r="35" spans="2:38" s="113" customFormat="1" x14ac:dyDescent="0.2">
      <c r="B35" s="1073"/>
      <c r="C35" s="150"/>
      <c r="D35" s="50">
        <v>21</v>
      </c>
      <c r="E35" s="151" t="s">
        <v>803</v>
      </c>
      <c r="F35" s="1093" t="s">
        <v>312</v>
      </c>
      <c r="G35" s="1087"/>
      <c r="H35" s="1075">
        <v>0</v>
      </c>
      <c r="I35" s="1075">
        <f t="shared" si="9"/>
        <v>0</v>
      </c>
      <c r="J35" s="1075">
        <f t="shared" si="10"/>
        <v>0</v>
      </c>
      <c r="K35" s="1075">
        <f t="shared" si="11"/>
        <v>0</v>
      </c>
      <c r="L35" s="1075">
        <f t="shared" si="12"/>
        <v>0</v>
      </c>
      <c r="M35" s="71"/>
      <c r="N35" s="68">
        <f>H35*tab!F$15</f>
        <v>0</v>
      </c>
      <c r="O35" s="68">
        <f>I35*tab!G$15</f>
        <v>0</v>
      </c>
      <c r="P35" s="68">
        <f>J35*tab!H$15</f>
        <v>0</v>
      </c>
      <c r="Q35" s="68">
        <f>K35*tab!I$15</f>
        <v>0</v>
      </c>
      <c r="R35" s="68">
        <f>L35*tab!J$15</f>
        <v>0</v>
      </c>
      <c r="S35" s="71"/>
      <c r="T35" s="120">
        <v>0</v>
      </c>
      <c r="U35" s="120">
        <f t="shared" si="8"/>
        <v>0</v>
      </c>
      <c r="V35" s="120">
        <f t="shared" si="13"/>
        <v>0</v>
      </c>
      <c r="W35" s="120">
        <f t="shared" si="13"/>
        <v>0</v>
      </c>
      <c r="X35" s="120">
        <f t="shared" si="13"/>
        <v>0</v>
      </c>
      <c r="Y35" s="71"/>
      <c r="Z35" s="68">
        <f>+H35*tab!F$16</f>
        <v>0</v>
      </c>
      <c r="AA35" s="68">
        <f>+I35*tab!G$16</f>
        <v>0</v>
      </c>
      <c r="AB35" s="68">
        <f>+J35*tab!H$16</f>
        <v>0</v>
      </c>
      <c r="AC35" s="68">
        <f>+K35*tab!I$16</f>
        <v>0</v>
      </c>
      <c r="AD35" s="68">
        <f>+L35*tab!J$16</f>
        <v>0</v>
      </c>
      <c r="AE35" s="71"/>
      <c r="AF35" s="153">
        <v>0</v>
      </c>
      <c r="AG35" s="120">
        <f t="shared" si="15"/>
        <v>0</v>
      </c>
      <c r="AH35" s="120">
        <f t="shared" si="15"/>
        <v>0</v>
      </c>
      <c r="AI35" s="120">
        <f t="shared" si="14"/>
        <v>0</v>
      </c>
      <c r="AJ35" s="120">
        <f t="shared" si="14"/>
        <v>0</v>
      </c>
      <c r="AK35" s="92"/>
      <c r="AL35" s="134"/>
    </row>
    <row r="36" spans="2:38" s="113" customFormat="1" x14ac:dyDescent="0.2">
      <c r="B36" s="1073"/>
      <c r="C36" s="150"/>
      <c r="D36" s="50">
        <v>22</v>
      </c>
      <c r="E36" s="151" t="s">
        <v>804</v>
      </c>
      <c r="F36" s="1093" t="s">
        <v>312</v>
      </c>
      <c r="G36" s="1088"/>
      <c r="H36" s="1075">
        <v>0</v>
      </c>
      <c r="I36" s="925">
        <f t="shared" si="9"/>
        <v>0</v>
      </c>
      <c r="J36" s="925">
        <f t="shared" si="10"/>
        <v>0</v>
      </c>
      <c r="K36" s="925">
        <f t="shared" si="11"/>
        <v>0</v>
      </c>
      <c r="L36" s="925">
        <f t="shared" si="12"/>
        <v>0</v>
      </c>
      <c r="M36" s="71"/>
      <c r="N36" s="68">
        <f>H36*tab!F$15</f>
        <v>0</v>
      </c>
      <c r="O36" s="68">
        <f>I36*tab!G$15</f>
        <v>0</v>
      </c>
      <c r="P36" s="68">
        <f>J36*tab!H$15</f>
        <v>0</v>
      </c>
      <c r="Q36" s="68">
        <f>K36*tab!I$15</f>
        <v>0</v>
      </c>
      <c r="R36" s="68">
        <f>L36*tab!J$15</f>
        <v>0</v>
      </c>
      <c r="S36" s="71"/>
      <c r="T36" s="120">
        <v>0</v>
      </c>
      <c r="U36" s="120">
        <f t="shared" si="8"/>
        <v>0</v>
      </c>
      <c r="V36" s="120">
        <f t="shared" si="13"/>
        <v>0</v>
      </c>
      <c r="W36" s="120">
        <f t="shared" si="13"/>
        <v>0</v>
      </c>
      <c r="X36" s="120">
        <f t="shared" si="13"/>
        <v>0</v>
      </c>
      <c r="Y36" s="71"/>
      <c r="Z36" s="68">
        <f>+H36*tab!F$16</f>
        <v>0</v>
      </c>
      <c r="AA36" s="68">
        <f>+I36*tab!G$16</f>
        <v>0</v>
      </c>
      <c r="AB36" s="68">
        <f>+J36*tab!H$16</f>
        <v>0</v>
      </c>
      <c r="AC36" s="68">
        <f>+K36*tab!I$16</f>
        <v>0</v>
      </c>
      <c r="AD36" s="68">
        <f>+L36*tab!J$16</f>
        <v>0</v>
      </c>
      <c r="AE36" s="71"/>
      <c r="AF36" s="153">
        <v>0</v>
      </c>
      <c r="AG36" s="120">
        <f t="shared" si="15"/>
        <v>0</v>
      </c>
      <c r="AH36" s="120">
        <f t="shared" si="15"/>
        <v>0</v>
      </c>
      <c r="AI36" s="120">
        <f t="shared" si="14"/>
        <v>0</v>
      </c>
      <c r="AJ36" s="120">
        <f t="shared" si="14"/>
        <v>0</v>
      </c>
      <c r="AK36" s="92"/>
      <c r="AL36" s="134"/>
    </row>
    <row r="37" spans="2:38" s="113" customFormat="1" x14ac:dyDescent="0.2">
      <c r="B37" s="1073"/>
      <c r="C37" s="150"/>
      <c r="D37" s="50">
        <v>23</v>
      </c>
      <c r="E37" s="151" t="s">
        <v>805</v>
      </c>
      <c r="F37" s="1093" t="s">
        <v>312</v>
      </c>
      <c r="G37" s="1088"/>
      <c r="H37" s="1075">
        <v>0</v>
      </c>
      <c r="I37" s="925">
        <f t="shared" si="9"/>
        <v>0</v>
      </c>
      <c r="J37" s="925">
        <f t="shared" si="10"/>
        <v>0</v>
      </c>
      <c r="K37" s="925">
        <f t="shared" si="11"/>
        <v>0</v>
      </c>
      <c r="L37" s="925">
        <f t="shared" si="12"/>
        <v>0</v>
      </c>
      <c r="M37" s="71"/>
      <c r="N37" s="68">
        <f>H37*tab!F$15</f>
        <v>0</v>
      </c>
      <c r="O37" s="68">
        <f>I37*tab!G$15</f>
        <v>0</v>
      </c>
      <c r="P37" s="68">
        <f>J37*tab!H$15</f>
        <v>0</v>
      </c>
      <c r="Q37" s="68">
        <f>K37*tab!I$15</f>
        <v>0</v>
      </c>
      <c r="R37" s="68">
        <f>L37*tab!J$15</f>
        <v>0</v>
      </c>
      <c r="S37" s="71"/>
      <c r="T37" s="120">
        <v>0</v>
      </c>
      <c r="U37" s="120">
        <f t="shared" si="8"/>
        <v>0</v>
      </c>
      <c r="V37" s="120">
        <f t="shared" si="13"/>
        <v>0</v>
      </c>
      <c r="W37" s="120">
        <f t="shared" si="13"/>
        <v>0</v>
      </c>
      <c r="X37" s="120">
        <f t="shared" si="13"/>
        <v>0</v>
      </c>
      <c r="Y37" s="71"/>
      <c r="Z37" s="68">
        <f>+H37*tab!F$16</f>
        <v>0</v>
      </c>
      <c r="AA37" s="68">
        <f>+I37*tab!G$16</f>
        <v>0</v>
      </c>
      <c r="AB37" s="68">
        <f>+J37*tab!H$16</f>
        <v>0</v>
      </c>
      <c r="AC37" s="68">
        <f>+K37*tab!I$16</f>
        <v>0</v>
      </c>
      <c r="AD37" s="68">
        <f>+L37*tab!J$16</f>
        <v>0</v>
      </c>
      <c r="AE37" s="71"/>
      <c r="AF37" s="153">
        <v>0</v>
      </c>
      <c r="AG37" s="120">
        <f t="shared" si="15"/>
        <v>0</v>
      </c>
      <c r="AH37" s="120">
        <f t="shared" si="15"/>
        <v>0</v>
      </c>
      <c r="AI37" s="120">
        <f t="shared" si="14"/>
        <v>0</v>
      </c>
      <c r="AJ37" s="120">
        <f t="shared" si="14"/>
        <v>0</v>
      </c>
      <c r="AK37" s="92"/>
      <c r="AL37" s="134"/>
    </row>
    <row r="38" spans="2:38" s="113" customFormat="1" x14ac:dyDescent="0.2">
      <c r="B38" s="1073"/>
      <c r="C38" s="150"/>
      <c r="D38" s="50">
        <v>24</v>
      </c>
      <c r="E38" s="151" t="s">
        <v>507</v>
      </c>
      <c r="F38" s="923" t="s">
        <v>312</v>
      </c>
      <c r="G38" s="1088"/>
      <c r="H38" s="925">
        <v>0</v>
      </c>
      <c r="I38" s="119">
        <f t="shared" ref="I38:L40" si="16">H38</f>
        <v>0</v>
      </c>
      <c r="J38" s="119">
        <f t="shared" si="16"/>
        <v>0</v>
      </c>
      <c r="K38" s="119">
        <f t="shared" si="16"/>
        <v>0</v>
      </c>
      <c r="L38" s="119">
        <f t="shared" si="16"/>
        <v>0</v>
      </c>
      <c r="M38" s="71"/>
      <c r="N38" s="68">
        <f>H38*tab!F$15</f>
        <v>0</v>
      </c>
      <c r="O38" s="68">
        <f>I38*tab!G$15</f>
        <v>0</v>
      </c>
      <c r="P38" s="68">
        <f>J38*tab!H$15</f>
        <v>0</v>
      </c>
      <c r="Q38" s="68">
        <f>K38*tab!I$15</f>
        <v>0</v>
      </c>
      <c r="R38" s="68">
        <f>L38*tab!J$15</f>
        <v>0</v>
      </c>
      <c r="S38" s="71"/>
      <c r="T38" s="120">
        <v>0</v>
      </c>
      <c r="U38" s="120">
        <f t="shared" si="8"/>
        <v>0</v>
      </c>
      <c r="V38" s="120">
        <f t="shared" si="13"/>
        <v>0</v>
      </c>
      <c r="W38" s="120">
        <f t="shared" si="13"/>
        <v>0</v>
      </c>
      <c r="X38" s="120">
        <f t="shared" si="13"/>
        <v>0</v>
      </c>
      <c r="Y38" s="71"/>
      <c r="Z38" s="68">
        <f>+H38*tab!F$16</f>
        <v>0</v>
      </c>
      <c r="AA38" s="68">
        <f>+I38*tab!G$16</f>
        <v>0</v>
      </c>
      <c r="AB38" s="68">
        <f>+J38*tab!H$16</f>
        <v>0</v>
      </c>
      <c r="AC38" s="68">
        <f>+K38*tab!I$16</f>
        <v>0</v>
      </c>
      <c r="AD38" s="68">
        <f>+L38*tab!J$16</f>
        <v>0</v>
      </c>
      <c r="AE38" s="71"/>
      <c r="AF38" s="153">
        <v>0</v>
      </c>
      <c r="AG38" s="120">
        <f t="shared" si="15"/>
        <v>0</v>
      </c>
      <c r="AH38" s="120">
        <f t="shared" si="15"/>
        <v>0</v>
      </c>
      <c r="AI38" s="120">
        <f t="shared" si="14"/>
        <v>0</v>
      </c>
      <c r="AJ38" s="120">
        <f t="shared" si="14"/>
        <v>0</v>
      </c>
      <c r="AK38" s="92"/>
      <c r="AL38" s="134"/>
    </row>
    <row r="39" spans="2:38" s="113" customFormat="1" x14ac:dyDescent="0.2">
      <c r="B39" s="1073"/>
      <c r="C39" s="150"/>
      <c r="D39" s="50">
        <v>25</v>
      </c>
      <c r="E39" s="151" t="s">
        <v>508</v>
      </c>
      <c r="F39" s="923" t="s">
        <v>312</v>
      </c>
      <c r="G39" s="1088"/>
      <c r="H39" s="925">
        <v>0</v>
      </c>
      <c r="I39" s="119">
        <f t="shared" si="16"/>
        <v>0</v>
      </c>
      <c r="J39" s="119">
        <f t="shared" si="16"/>
        <v>0</v>
      </c>
      <c r="K39" s="119">
        <f t="shared" si="16"/>
        <v>0</v>
      </c>
      <c r="L39" s="119">
        <f t="shared" si="16"/>
        <v>0</v>
      </c>
      <c r="M39" s="71"/>
      <c r="N39" s="68">
        <f>H39*tab!F$15</f>
        <v>0</v>
      </c>
      <c r="O39" s="68">
        <f>I39*tab!G$15</f>
        <v>0</v>
      </c>
      <c r="P39" s="68">
        <f>J39*tab!H$15</f>
        <v>0</v>
      </c>
      <c r="Q39" s="68">
        <f>K39*tab!I$15</f>
        <v>0</v>
      </c>
      <c r="R39" s="68">
        <f>L39*tab!J$15</f>
        <v>0</v>
      </c>
      <c r="S39" s="71"/>
      <c r="T39" s="120">
        <v>0</v>
      </c>
      <c r="U39" s="120">
        <f t="shared" si="8"/>
        <v>0</v>
      </c>
      <c r="V39" s="120">
        <f t="shared" si="13"/>
        <v>0</v>
      </c>
      <c r="W39" s="120">
        <f t="shared" si="13"/>
        <v>0</v>
      </c>
      <c r="X39" s="120">
        <f t="shared" si="13"/>
        <v>0</v>
      </c>
      <c r="Y39" s="71"/>
      <c r="Z39" s="68">
        <f>+H39*tab!F$16</f>
        <v>0</v>
      </c>
      <c r="AA39" s="68">
        <f>+I39*tab!G$16</f>
        <v>0</v>
      </c>
      <c r="AB39" s="68">
        <f>+J39*tab!H$16</f>
        <v>0</v>
      </c>
      <c r="AC39" s="68">
        <f>+K39*tab!I$16</f>
        <v>0</v>
      </c>
      <c r="AD39" s="68">
        <f>+L39*tab!J$16</f>
        <v>0</v>
      </c>
      <c r="AE39" s="71"/>
      <c r="AF39" s="153">
        <v>0</v>
      </c>
      <c r="AG39" s="120">
        <f t="shared" si="15"/>
        <v>0</v>
      </c>
      <c r="AH39" s="120">
        <f t="shared" si="15"/>
        <v>0</v>
      </c>
      <c r="AI39" s="120">
        <f t="shared" si="14"/>
        <v>0</v>
      </c>
      <c r="AJ39" s="120">
        <f t="shared" si="14"/>
        <v>0</v>
      </c>
      <c r="AK39" s="92"/>
      <c r="AL39" s="134"/>
    </row>
    <row r="40" spans="2:38" s="113" customFormat="1" x14ac:dyDescent="0.2">
      <c r="B40" s="1073"/>
      <c r="C40" s="150"/>
      <c r="D40" s="50">
        <v>26</v>
      </c>
      <c r="E40" s="151" t="s">
        <v>509</v>
      </c>
      <c r="F40" s="923" t="s">
        <v>312</v>
      </c>
      <c r="G40" s="1088"/>
      <c r="H40" s="925">
        <v>0</v>
      </c>
      <c r="I40" s="119">
        <f t="shared" si="16"/>
        <v>0</v>
      </c>
      <c r="J40" s="119">
        <f t="shared" si="16"/>
        <v>0</v>
      </c>
      <c r="K40" s="119">
        <f t="shared" si="16"/>
        <v>0</v>
      </c>
      <c r="L40" s="119">
        <f t="shared" si="16"/>
        <v>0</v>
      </c>
      <c r="M40" s="71"/>
      <c r="N40" s="68">
        <f>H40*tab!F$15</f>
        <v>0</v>
      </c>
      <c r="O40" s="68">
        <f>I40*tab!G$15</f>
        <v>0</v>
      </c>
      <c r="P40" s="68">
        <f>J40*tab!H$15</f>
        <v>0</v>
      </c>
      <c r="Q40" s="68">
        <f>K40*tab!I$15</f>
        <v>0</v>
      </c>
      <c r="R40" s="68">
        <f>L40*tab!J$15</f>
        <v>0</v>
      </c>
      <c r="S40" s="71"/>
      <c r="T40" s="120">
        <v>0</v>
      </c>
      <c r="U40" s="120">
        <f t="shared" si="8"/>
        <v>0</v>
      </c>
      <c r="V40" s="120">
        <f t="shared" si="13"/>
        <v>0</v>
      </c>
      <c r="W40" s="120">
        <f t="shared" si="13"/>
        <v>0</v>
      </c>
      <c r="X40" s="120">
        <f t="shared" si="13"/>
        <v>0</v>
      </c>
      <c r="Y40" s="71"/>
      <c r="Z40" s="68">
        <f>+H40*tab!F$16</f>
        <v>0</v>
      </c>
      <c r="AA40" s="68">
        <f>+I40*tab!G$16</f>
        <v>0</v>
      </c>
      <c r="AB40" s="68">
        <f>+J40*tab!H$16</f>
        <v>0</v>
      </c>
      <c r="AC40" s="68">
        <f>+K40*tab!I$16</f>
        <v>0</v>
      </c>
      <c r="AD40" s="68">
        <f>+L40*tab!J$16</f>
        <v>0</v>
      </c>
      <c r="AE40" s="71"/>
      <c r="AF40" s="153">
        <v>0</v>
      </c>
      <c r="AG40" s="120">
        <f t="shared" si="15"/>
        <v>0</v>
      </c>
      <c r="AH40" s="120">
        <f t="shared" si="15"/>
        <v>0</v>
      </c>
      <c r="AI40" s="120">
        <f t="shared" si="14"/>
        <v>0</v>
      </c>
      <c r="AJ40" s="120">
        <f t="shared" si="14"/>
        <v>0</v>
      </c>
      <c r="AK40" s="92"/>
      <c r="AL40" s="134"/>
    </row>
    <row r="41" spans="2:38" s="113" customFormat="1" x14ac:dyDescent="0.2">
      <c r="B41" s="1073"/>
      <c r="C41" s="150"/>
      <c r="D41" s="50">
        <v>27</v>
      </c>
      <c r="E41" s="151" t="s">
        <v>436</v>
      </c>
      <c r="F41" s="923" t="s">
        <v>312</v>
      </c>
      <c r="G41" s="1088"/>
      <c r="H41" s="925">
        <v>0</v>
      </c>
      <c r="I41" s="119">
        <f t="shared" ref="I41:L56" si="17">H41</f>
        <v>0</v>
      </c>
      <c r="J41" s="119">
        <f t="shared" si="17"/>
        <v>0</v>
      </c>
      <c r="K41" s="119">
        <f t="shared" si="17"/>
        <v>0</v>
      </c>
      <c r="L41" s="119">
        <f t="shared" si="17"/>
        <v>0</v>
      </c>
      <c r="M41" s="71"/>
      <c r="N41" s="68">
        <f>H41*tab!F$15</f>
        <v>0</v>
      </c>
      <c r="O41" s="68">
        <f>I41*tab!G$15</f>
        <v>0</v>
      </c>
      <c r="P41" s="68">
        <f>J41*tab!H$15</f>
        <v>0</v>
      </c>
      <c r="Q41" s="68">
        <f>K41*tab!I$15</f>
        <v>0</v>
      </c>
      <c r="R41" s="68">
        <f>L41*tab!J$15</f>
        <v>0</v>
      </c>
      <c r="S41" s="71"/>
      <c r="T41" s="120">
        <v>0</v>
      </c>
      <c r="U41" s="120">
        <f t="shared" si="8"/>
        <v>0</v>
      </c>
      <c r="V41" s="120">
        <f t="shared" si="13"/>
        <v>0</v>
      </c>
      <c r="W41" s="120">
        <f t="shared" si="13"/>
        <v>0</v>
      </c>
      <c r="X41" s="120">
        <f t="shared" si="13"/>
        <v>0</v>
      </c>
      <c r="Y41" s="71"/>
      <c r="Z41" s="68">
        <f>+H41*tab!F$16</f>
        <v>0</v>
      </c>
      <c r="AA41" s="68">
        <f>+I41*tab!G$16</f>
        <v>0</v>
      </c>
      <c r="AB41" s="68">
        <f>+J41*tab!H$16</f>
        <v>0</v>
      </c>
      <c r="AC41" s="68">
        <f>+K41*tab!I$16</f>
        <v>0</v>
      </c>
      <c r="AD41" s="68">
        <f>+L41*tab!J$16</f>
        <v>0</v>
      </c>
      <c r="AE41" s="71"/>
      <c r="AF41" s="153">
        <v>0</v>
      </c>
      <c r="AG41" s="120">
        <f t="shared" si="15"/>
        <v>0</v>
      </c>
      <c r="AH41" s="120">
        <f t="shared" si="15"/>
        <v>0</v>
      </c>
      <c r="AI41" s="120">
        <f t="shared" si="14"/>
        <v>0</v>
      </c>
      <c r="AJ41" s="120">
        <f t="shared" si="14"/>
        <v>0</v>
      </c>
      <c r="AK41" s="92"/>
      <c r="AL41" s="134"/>
    </row>
    <row r="42" spans="2:38" s="113" customFormat="1" x14ac:dyDescent="0.2">
      <c r="B42" s="1073"/>
      <c r="C42" s="150"/>
      <c r="D42" s="50">
        <v>28</v>
      </c>
      <c r="E42" s="151" t="s">
        <v>437</v>
      </c>
      <c r="F42" s="923" t="s">
        <v>312</v>
      </c>
      <c r="G42" s="1088"/>
      <c r="H42" s="925">
        <v>0</v>
      </c>
      <c r="I42" s="119">
        <f t="shared" si="17"/>
        <v>0</v>
      </c>
      <c r="J42" s="119">
        <f t="shared" si="17"/>
        <v>0</v>
      </c>
      <c r="K42" s="119">
        <f t="shared" si="17"/>
        <v>0</v>
      </c>
      <c r="L42" s="119">
        <f t="shared" si="17"/>
        <v>0</v>
      </c>
      <c r="M42" s="71"/>
      <c r="N42" s="68">
        <f>H42*tab!F$15</f>
        <v>0</v>
      </c>
      <c r="O42" s="68">
        <f>I42*tab!G$15</f>
        <v>0</v>
      </c>
      <c r="P42" s="68">
        <f>J42*tab!H$15</f>
        <v>0</v>
      </c>
      <c r="Q42" s="68">
        <f>K42*tab!I$15</f>
        <v>0</v>
      </c>
      <c r="R42" s="68">
        <f>L42*tab!J$15</f>
        <v>0</v>
      </c>
      <c r="S42" s="71"/>
      <c r="T42" s="120">
        <v>0</v>
      </c>
      <c r="U42" s="120">
        <f t="shared" si="8"/>
        <v>0</v>
      </c>
      <c r="V42" s="120">
        <f t="shared" si="13"/>
        <v>0</v>
      </c>
      <c r="W42" s="120">
        <f t="shared" si="13"/>
        <v>0</v>
      </c>
      <c r="X42" s="120">
        <f t="shared" si="13"/>
        <v>0</v>
      </c>
      <c r="Y42" s="71"/>
      <c r="Z42" s="68">
        <f>+H42*tab!F$16</f>
        <v>0</v>
      </c>
      <c r="AA42" s="68">
        <f>+I42*tab!G$16</f>
        <v>0</v>
      </c>
      <c r="AB42" s="68">
        <f>+J42*tab!H$16</f>
        <v>0</v>
      </c>
      <c r="AC42" s="68">
        <f>+K42*tab!I$16</f>
        <v>0</v>
      </c>
      <c r="AD42" s="68">
        <f>+L42*tab!J$16</f>
        <v>0</v>
      </c>
      <c r="AE42" s="71"/>
      <c r="AF42" s="153">
        <v>0</v>
      </c>
      <c r="AG42" s="120">
        <f t="shared" si="15"/>
        <v>0</v>
      </c>
      <c r="AH42" s="120">
        <f t="shared" si="15"/>
        <v>0</v>
      </c>
      <c r="AI42" s="120">
        <f t="shared" si="14"/>
        <v>0</v>
      </c>
      <c r="AJ42" s="120">
        <f t="shared" si="14"/>
        <v>0</v>
      </c>
      <c r="AK42" s="92"/>
      <c r="AL42" s="134"/>
    </row>
    <row r="43" spans="2:38" s="113" customFormat="1" x14ac:dyDescent="0.2">
      <c r="B43" s="1073"/>
      <c r="C43" s="150"/>
      <c r="D43" s="50">
        <v>29</v>
      </c>
      <c r="E43" s="151" t="s">
        <v>438</v>
      </c>
      <c r="F43" s="923" t="s">
        <v>312</v>
      </c>
      <c r="G43" s="1088"/>
      <c r="H43" s="925">
        <v>0</v>
      </c>
      <c r="I43" s="119">
        <f t="shared" si="17"/>
        <v>0</v>
      </c>
      <c r="J43" s="119">
        <f t="shared" si="17"/>
        <v>0</v>
      </c>
      <c r="K43" s="119">
        <f t="shared" si="17"/>
        <v>0</v>
      </c>
      <c r="L43" s="119">
        <f t="shared" si="17"/>
        <v>0</v>
      </c>
      <c r="M43" s="71"/>
      <c r="N43" s="68">
        <f>H43*tab!F$15</f>
        <v>0</v>
      </c>
      <c r="O43" s="68">
        <f>I43*tab!G$15</f>
        <v>0</v>
      </c>
      <c r="P43" s="68">
        <f>J43*tab!H$15</f>
        <v>0</v>
      </c>
      <c r="Q43" s="68">
        <f>K43*tab!I$15</f>
        <v>0</v>
      </c>
      <c r="R43" s="68">
        <f>L43*tab!J$15</f>
        <v>0</v>
      </c>
      <c r="S43" s="71"/>
      <c r="T43" s="120">
        <v>0</v>
      </c>
      <c r="U43" s="120">
        <f t="shared" si="8"/>
        <v>0</v>
      </c>
      <c r="V43" s="120">
        <f t="shared" si="13"/>
        <v>0</v>
      </c>
      <c r="W43" s="120">
        <f t="shared" si="13"/>
        <v>0</v>
      </c>
      <c r="X43" s="120">
        <f t="shared" si="13"/>
        <v>0</v>
      </c>
      <c r="Y43" s="71"/>
      <c r="Z43" s="68">
        <f>+H43*tab!F$16</f>
        <v>0</v>
      </c>
      <c r="AA43" s="68">
        <f>+I43*tab!G$16</f>
        <v>0</v>
      </c>
      <c r="AB43" s="68">
        <f>+J43*tab!H$16</f>
        <v>0</v>
      </c>
      <c r="AC43" s="68">
        <f>+K43*tab!I$16</f>
        <v>0</v>
      </c>
      <c r="AD43" s="68">
        <f>+L43*tab!J$16</f>
        <v>0</v>
      </c>
      <c r="AE43" s="71"/>
      <c r="AF43" s="153">
        <v>0</v>
      </c>
      <c r="AG43" s="120">
        <f t="shared" si="15"/>
        <v>0</v>
      </c>
      <c r="AH43" s="120">
        <f t="shared" si="15"/>
        <v>0</v>
      </c>
      <c r="AI43" s="120">
        <f t="shared" si="14"/>
        <v>0</v>
      </c>
      <c r="AJ43" s="120">
        <f t="shared" si="14"/>
        <v>0</v>
      </c>
      <c r="AK43" s="92"/>
      <c r="AL43" s="134"/>
    </row>
    <row r="44" spans="2:38" s="113" customFormat="1" x14ac:dyDescent="0.2">
      <c r="B44" s="1073"/>
      <c r="C44" s="150"/>
      <c r="D44" s="50">
        <v>30</v>
      </c>
      <c r="E44" s="151" t="s">
        <v>439</v>
      </c>
      <c r="F44" s="923" t="s">
        <v>312</v>
      </c>
      <c r="G44" s="1088"/>
      <c r="H44" s="925">
        <v>0</v>
      </c>
      <c r="I44" s="119">
        <f t="shared" si="17"/>
        <v>0</v>
      </c>
      <c r="J44" s="119">
        <f t="shared" si="17"/>
        <v>0</v>
      </c>
      <c r="K44" s="119">
        <f t="shared" si="17"/>
        <v>0</v>
      </c>
      <c r="L44" s="119">
        <f t="shared" si="17"/>
        <v>0</v>
      </c>
      <c r="M44" s="71"/>
      <c r="N44" s="68">
        <f>H44*tab!F$15</f>
        <v>0</v>
      </c>
      <c r="O44" s="68">
        <f>I44*tab!G$15</f>
        <v>0</v>
      </c>
      <c r="P44" s="68">
        <f>J44*tab!H$15</f>
        <v>0</v>
      </c>
      <c r="Q44" s="68">
        <f>K44*tab!I$15</f>
        <v>0</v>
      </c>
      <c r="R44" s="68">
        <f>L44*tab!J$15</f>
        <v>0</v>
      </c>
      <c r="S44" s="71"/>
      <c r="T44" s="120">
        <v>0</v>
      </c>
      <c r="U44" s="120">
        <f t="shared" si="8"/>
        <v>0</v>
      </c>
      <c r="V44" s="120">
        <f t="shared" si="13"/>
        <v>0</v>
      </c>
      <c r="W44" s="120">
        <f t="shared" si="13"/>
        <v>0</v>
      </c>
      <c r="X44" s="120">
        <f t="shared" si="13"/>
        <v>0</v>
      </c>
      <c r="Y44" s="71"/>
      <c r="Z44" s="68">
        <f>+H44*tab!F$16</f>
        <v>0</v>
      </c>
      <c r="AA44" s="68">
        <f>+I44*tab!G$16</f>
        <v>0</v>
      </c>
      <c r="AB44" s="68">
        <f>+J44*tab!H$16</f>
        <v>0</v>
      </c>
      <c r="AC44" s="68">
        <f>+K44*tab!I$16</f>
        <v>0</v>
      </c>
      <c r="AD44" s="68">
        <f>+L44*tab!J$16</f>
        <v>0</v>
      </c>
      <c r="AE44" s="71"/>
      <c r="AF44" s="153">
        <v>0</v>
      </c>
      <c r="AG44" s="120">
        <f t="shared" si="15"/>
        <v>0</v>
      </c>
      <c r="AH44" s="120">
        <f t="shared" si="15"/>
        <v>0</v>
      </c>
      <c r="AI44" s="120">
        <f t="shared" si="14"/>
        <v>0</v>
      </c>
      <c r="AJ44" s="120">
        <f t="shared" si="14"/>
        <v>0</v>
      </c>
      <c r="AK44" s="92"/>
      <c r="AL44" s="134"/>
    </row>
    <row r="45" spans="2:38" s="113" customFormat="1" x14ac:dyDescent="0.2">
      <c r="B45" s="1073"/>
      <c r="C45" s="150"/>
      <c r="D45" s="50">
        <v>31</v>
      </c>
      <c r="E45" s="151" t="s">
        <v>665</v>
      </c>
      <c r="F45" s="923" t="s">
        <v>312</v>
      </c>
      <c r="G45" s="1088"/>
      <c r="H45" s="925">
        <v>0</v>
      </c>
      <c r="I45" s="119">
        <f t="shared" si="17"/>
        <v>0</v>
      </c>
      <c r="J45" s="119">
        <f t="shared" si="17"/>
        <v>0</v>
      </c>
      <c r="K45" s="119">
        <f t="shared" si="17"/>
        <v>0</v>
      </c>
      <c r="L45" s="119">
        <f t="shared" si="17"/>
        <v>0</v>
      </c>
      <c r="M45" s="71"/>
      <c r="N45" s="68">
        <f>H45*tab!F$15</f>
        <v>0</v>
      </c>
      <c r="O45" s="68">
        <f>I45*tab!G$15</f>
        <v>0</v>
      </c>
      <c r="P45" s="68">
        <f>J45*tab!H$15</f>
        <v>0</v>
      </c>
      <c r="Q45" s="68">
        <f>K45*tab!I$15</f>
        <v>0</v>
      </c>
      <c r="R45" s="68">
        <f>L45*tab!J$15</f>
        <v>0</v>
      </c>
      <c r="S45" s="71"/>
      <c r="T45" s="120">
        <v>0</v>
      </c>
      <c r="U45" s="120">
        <f t="shared" si="8"/>
        <v>0</v>
      </c>
      <c r="V45" s="120">
        <f t="shared" si="13"/>
        <v>0</v>
      </c>
      <c r="W45" s="120">
        <f t="shared" si="13"/>
        <v>0</v>
      </c>
      <c r="X45" s="120">
        <f t="shared" si="13"/>
        <v>0</v>
      </c>
      <c r="Y45" s="71"/>
      <c r="Z45" s="68">
        <f>+H45*tab!F$16</f>
        <v>0</v>
      </c>
      <c r="AA45" s="68">
        <f>+I45*tab!G$16</f>
        <v>0</v>
      </c>
      <c r="AB45" s="68">
        <f>+J45*tab!H$16</f>
        <v>0</v>
      </c>
      <c r="AC45" s="68">
        <f>+K45*tab!I$16</f>
        <v>0</v>
      </c>
      <c r="AD45" s="68">
        <f>+L45*tab!J$16</f>
        <v>0</v>
      </c>
      <c r="AE45" s="71"/>
      <c r="AF45" s="153">
        <v>0</v>
      </c>
      <c r="AG45" s="120">
        <f t="shared" si="15"/>
        <v>0</v>
      </c>
      <c r="AH45" s="120">
        <f t="shared" si="15"/>
        <v>0</v>
      </c>
      <c r="AI45" s="120">
        <f t="shared" si="14"/>
        <v>0</v>
      </c>
      <c r="AJ45" s="120">
        <f t="shared" si="14"/>
        <v>0</v>
      </c>
      <c r="AK45" s="92"/>
      <c r="AL45" s="134"/>
    </row>
    <row r="46" spans="2:38" s="113" customFormat="1" x14ac:dyDescent="0.2">
      <c r="B46" s="1073"/>
      <c r="C46" s="150"/>
      <c r="D46" s="50">
        <v>32</v>
      </c>
      <c r="E46" s="151" t="s">
        <v>666</v>
      </c>
      <c r="F46" s="923" t="s">
        <v>312</v>
      </c>
      <c r="G46" s="1088"/>
      <c r="H46" s="925">
        <v>0</v>
      </c>
      <c r="I46" s="119">
        <f t="shared" si="17"/>
        <v>0</v>
      </c>
      <c r="J46" s="119">
        <f t="shared" si="17"/>
        <v>0</v>
      </c>
      <c r="K46" s="119">
        <f t="shared" si="17"/>
        <v>0</v>
      </c>
      <c r="L46" s="119">
        <f t="shared" si="17"/>
        <v>0</v>
      </c>
      <c r="M46" s="71"/>
      <c r="N46" s="68">
        <f>H46*tab!F$15</f>
        <v>0</v>
      </c>
      <c r="O46" s="68">
        <f>I46*tab!G$15</f>
        <v>0</v>
      </c>
      <c r="P46" s="68">
        <f>J46*tab!H$15</f>
        <v>0</v>
      </c>
      <c r="Q46" s="68">
        <f>K46*tab!I$15</f>
        <v>0</v>
      </c>
      <c r="R46" s="68">
        <f>L46*tab!J$15</f>
        <v>0</v>
      </c>
      <c r="S46" s="71"/>
      <c r="T46" s="120">
        <v>0</v>
      </c>
      <c r="U46" s="120">
        <f t="shared" si="8"/>
        <v>0</v>
      </c>
      <c r="V46" s="120">
        <f t="shared" si="13"/>
        <v>0</v>
      </c>
      <c r="W46" s="120">
        <f t="shared" si="13"/>
        <v>0</v>
      </c>
      <c r="X46" s="120">
        <f t="shared" si="13"/>
        <v>0</v>
      </c>
      <c r="Y46" s="71"/>
      <c r="Z46" s="68">
        <f>+H46*tab!F$16</f>
        <v>0</v>
      </c>
      <c r="AA46" s="68">
        <f>+I46*tab!G$16</f>
        <v>0</v>
      </c>
      <c r="AB46" s="68">
        <f>+J46*tab!H$16</f>
        <v>0</v>
      </c>
      <c r="AC46" s="68">
        <f>+K46*tab!I$16</f>
        <v>0</v>
      </c>
      <c r="AD46" s="68">
        <f>+L46*tab!J$16</f>
        <v>0</v>
      </c>
      <c r="AE46" s="71"/>
      <c r="AF46" s="153">
        <v>0</v>
      </c>
      <c r="AG46" s="120">
        <f t="shared" si="15"/>
        <v>0</v>
      </c>
      <c r="AH46" s="120">
        <f t="shared" si="15"/>
        <v>0</v>
      </c>
      <c r="AI46" s="120">
        <f t="shared" si="14"/>
        <v>0</v>
      </c>
      <c r="AJ46" s="120">
        <f t="shared" si="14"/>
        <v>0</v>
      </c>
      <c r="AK46" s="92"/>
      <c r="AL46" s="134"/>
    </row>
    <row r="47" spans="2:38" s="113" customFormat="1" x14ac:dyDescent="0.2">
      <c r="B47" s="1073"/>
      <c r="C47" s="150"/>
      <c r="D47" s="50">
        <v>33</v>
      </c>
      <c r="E47" s="151" t="s">
        <v>667</v>
      </c>
      <c r="F47" s="923" t="s">
        <v>312</v>
      </c>
      <c r="G47" s="1088"/>
      <c r="H47" s="925">
        <v>0</v>
      </c>
      <c r="I47" s="119">
        <f t="shared" si="17"/>
        <v>0</v>
      </c>
      <c r="J47" s="119">
        <f t="shared" si="17"/>
        <v>0</v>
      </c>
      <c r="K47" s="119">
        <f t="shared" si="17"/>
        <v>0</v>
      </c>
      <c r="L47" s="119">
        <f t="shared" si="17"/>
        <v>0</v>
      </c>
      <c r="M47" s="71"/>
      <c r="N47" s="68">
        <f>H47*tab!F$15</f>
        <v>0</v>
      </c>
      <c r="O47" s="68">
        <f>I47*tab!G$15</f>
        <v>0</v>
      </c>
      <c r="P47" s="68">
        <f>J47*tab!H$15</f>
        <v>0</v>
      </c>
      <c r="Q47" s="68">
        <f>K47*tab!I$15</f>
        <v>0</v>
      </c>
      <c r="R47" s="68">
        <f>L47*tab!J$15</f>
        <v>0</v>
      </c>
      <c r="S47" s="71"/>
      <c r="T47" s="120">
        <v>0</v>
      </c>
      <c r="U47" s="120">
        <f t="shared" si="8"/>
        <v>0</v>
      </c>
      <c r="V47" s="120">
        <f t="shared" ref="V47:X62" si="18">U47</f>
        <v>0</v>
      </c>
      <c r="W47" s="120">
        <f t="shared" si="18"/>
        <v>0</v>
      </c>
      <c r="X47" s="120">
        <f t="shared" si="18"/>
        <v>0</v>
      </c>
      <c r="Y47" s="71"/>
      <c r="Z47" s="68">
        <f>+H47*tab!F$16</f>
        <v>0</v>
      </c>
      <c r="AA47" s="68">
        <f>+I47*tab!G$16</f>
        <v>0</v>
      </c>
      <c r="AB47" s="68">
        <f>+J47*tab!H$16</f>
        <v>0</v>
      </c>
      <c r="AC47" s="68">
        <f>+K47*tab!I$16</f>
        <v>0</v>
      </c>
      <c r="AD47" s="68">
        <f>+L47*tab!J$16</f>
        <v>0</v>
      </c>
      <c r="AE47" s="71"/>
      <c r="AF47" s="153">
        <v>0</v>
      </c>
      <c r="AG47" s="120">
        <f t="shared" si="15"/>
        <v>0</v>
      </c>
      <c r="AH47" s="120">
        <f t="shared" si="15"/>
        <v>0</v>
      </c>
      <c r="AI47" s="120">
        <f t="shared" si="14"/>
        <v>0</v>
      </c>
      <c r="AJ47" s="120">
        <f t="shared" si="14"/>
        <v>0</v>
      </c>
      <c r="AK47" s="92"/>
      <c r="AL47" s="134"/>
    </row>
    <row r="48" spans="2:38" s="113" customFormat="1" x14ac:dyDescent="0.2">
      <c r="B48" s="1073"/>
      <c r="C48" s="150"/>
      <c r="D48" s="50">
        <v>34</v>
      </c>
      <c r="E48" s="151" t="s">
        <v>668</v>
      </c>
      <c r="F48" s="923" t="s">
        <v>312</v>
      </c>
      <c r="G48" s="1088"/>
      <c r="H48" s="925">
        <v>0</v>
      </c>
      <c r="I48" s="119">
        <f t="shared" si="17"/>
        <v>0</v>
      </c>
      <c r="J48" s="119">
        <f t="shared" si="17"/>
        <v>0</v>
      </c>
      <c r="K48" s="119">
        <f t="shared" si="17"/>
        <v>0</v>
      </c>
      <c r="L48" s="119">
        <f t="shared" si="17"/>
        <v>0</v>
      </c>
      <c r="M48" s="71"/>
      <c r="N48" s="68">
        <f>H48*tab!F$15</f>
        <v>0</v>
      </c>
      <c r="O48" s="68">
        <f>I48*tab!G$15</f>
        <v>0</v>
      </c>
      <c r="P48" s="68">
        <f>J48*tab!H$15</f>
        <v>0</v>
      </c>
      <c r="Q48" s="68">
        <f>K48*tab!I$15</f>
        <v>0</v>
      </c>
      <c r="R48" s="68">
        <f>L48*tab!J$15</f>
        <v>0</v>
      </c>
      <c r="S48" s="71"/>
      <c r="T48" s="120">
        <v>0</v>
      </c>
      <c r="U48" s="120">
        <f t="shared" ref="U48:U79" si="19">T48</f>
        <v>0</v>
      </c>
      <c r="V48" s="120">
        <f t="shared" si="18"/>
        <v>0</v>
      </c>
      <c r="W48" s="120">
        <f t="shared" si="18"/>
        <v>0</v>
      </c>
      <c r="X48" s="120">
        <f t="shared" si="18"/>
        <v>0</v>
      </c>
      <c r="Y48" s="71"/>
      <c r="Z48" s="68">
        <f>+H48*tab!F$16</f>
        <v>0</v>
      </c>
      <c r="AA48" s="68">
        <f>+I48*tab!G$16</f>
        <v>0</v>
      </c>
      <c r="AB48" s="68">
        <f>+J48*tab!H$16</f>
        <v>0</v>
      </c>
      <c r="AC48" s="68">
        <f>+K48*tab!I$16</f>
        <v>0</v>
      </c>
      <c r="AD48" s="68">
        <f>+L48*tab!J$16</f>
        <v>0</v>
      </c>
      <c r="AE48" s="71"/>
      <c r="AF48" s="153">
        <v>0</v>
      </c>
      <c r="AG48" s="120">
        <f t="shared" ref="AG48:AH67" si="20">AF48</f>
        <v>0</v>
      </c>
      <c r="AH48" s="120">
        <f t="shared" si="20"/>
        <v>0</v>
      </c>
      <c r="AI48" s="120">
        <f t="shared" si="14"/>
        <v>0</v>
      </c>
      <c r="AJ48" s="120">
        <f t="shared" si="14"/>
        <v>0</v>
      </c>
      <c r="AK48" s="92"/>
      <c r="AL48" s="134"/>
    </row>
    <row r="49" spans="2:38" s="113" customFormat="1" x14ac:dyDescent="0.2">
      <c r="B49" s="1073"/>
      <c r="C49" s="150"/>
      <c r="D49" s="50">
        <v>35</v>
      </c>
      <c r="E49" s="151" t="s">
        <v>669</v>
      </c>
      <c r="F49" s="923" t="s">
        <v>312</v>
      </c>
      <c r="G49" s="1088"/>
      <c r="H49" s="925">
        <v>0</v>
      </c>
      <c r="I49" s="119">
        <f t="shared" si="17"/>
        <v>0</v>
      </c>
      <c r="J49" s="119">
        <f t="shared" si="17"/>
        <v>0</v>
      </c>
      <c r="K49" s="119">
        <f t="shared" si="17"/>
        <v>0</v>
      </c>
      <c r="L49" s="119">
        <f t="shared" si="17"/>
        <v>0</v>
      </c>
      <c r="M49" s="71"/>
      <c r="N49" s="68">
        <f>H49*tab!F$15</f>
        <v>0</v>
      </c>
      <c r="O49" s="68">
        <f>I49*tab!G$15</f>
        <v>0</v>
      </c>
      <c r="P49" s="68">
        <f>J49*tab!H$15</f>
        <v>0</v>
      </c>
      <c r="Q49" s="68">
        <f>K49*tab!I$15</f>
        <v>0</v>
      </c>
      <c r="R49" s="68">
        <f>L49*tab!J$15</f>
        <v>0</v>
      </c>
      <c r="S49" s="71"/>
      <c r="T49" s="120">
        <v>0</v>
      </c>
      <c r="U49" s="120">
        <f t="shared" si="19"/>
        <v>0</v>
      </c>
      <c r="V49" s="120">
        <f t="shared" si="18"/>
        <v>0</v>
      </c>
      <c r="W49" s="120">
        <f t="shared" si="18"/>
        <v>0</v>
      </c>
      <c r="X49" s="120">
        <f t="shared" si="18"/>
        <v>0</v>
      </c>
      <c r="Y49" s="71"/>
      <c r="Z49" s="68">
        <f>+H49*tab!F$16</f>
        <v>0</v>
      </c>
      <c r="AA49" s="68">
        <f>+I49*tab!G$16</f>
        <v>0</v>
      </c>
      <c r="AB49" s="68">
        <f>+J49*tab!H$16</f>
        <v>0</v>
      </c>
      <c r="AC49" s="68">
        <f>+K49*tab!I$16</f>
        <v>0</v>
      </c>
      <c r="AD49" s="68">
        <f>+L49*tab!J$16</f>
        <v>0</v>
      </c>
      <c r="AE49" s="71"/>
      <c r="AF49" s="153">
        <v>0</v>
      </c>
      <c r="AG49" s="120">
        <f t="shared" si="20"/>
        <v>0</v>
      </c>
      <c r="AH49" s="120">
        <f t="shared" si="20"/>
        <v>0</v>
      </c>
      <c r="AI49" s="120">
        <f t="shared" si="14"/>
        <v>0</v>
      </c>
      <c r="AJ49" s="120">
        <f t="shared" si="14"/>
        <v>0</v>
      </c>
      <c r="AK49" s="92"/>
      <c r="AL49" s="134"/>
    </row>
    <row r="50" spans="2:38" s="113" customFormat="1" x14ac:dyDescent="0.2">
      <c r="B50" s="1073"/>
      <c r="C50" s="150"/>
      <c r="D50" s="50">
        <v>36</v>
      </c>
      <c r="E50" s="151" t="s">
        <v>670</v>
      </c>
      <c r="F50" s="923" t="s">
        <v>312</v>
      </c>
      <c r="G50" s="1088"/>
      <c r="H50" s="925">
        <v>0</v>
      </c>
      <c r="I50" s="119">
        <f t="shared" si="17"/>
        <v>0</v>
      </c>
      <c r="J50" s="119">
        <f t="shared" si="17"/>
        <v>0</v>
      </c>
      <c r="K50" s="119">
        <f t="shared" si="17"/>
        <v>0</v>
      </c>
      <c r="L50" s="119">
        <f t="shared" si="17"/>
        <v>0</v>
      </c>
      <c r="M50" s="71"/>
      <c r="N50" s="68">
        <f>H50*tab!F$15</f>
        <v>0</v>
      </c>
      <c r="O50" s="68">
        <f>I50*tab!G$15</f>
        <v>0</v>
      </c>
      <c r="P50" s="68">
        <f>J50*tab!H$15</f>
        <v>0</v>
      </c>
      <c r="Q50" s="68">
        <f>K50*tab!I$15</f>
        <v>0</v>
      </c>
      <c r="R50" s="68">
        <f>L50*tab!J$15</f>
        <v>0</v>
      </c>
      <c r="S50" s="71"/>
      <c r="T50" s="120">
        <v>0</v>
      </c>
      <c r="U50" s="120">
        <f t="shared" si="19"/>
        <v>0</v>
      </c>
      <c r="V50" s="120">
        <f t="shared" si="18"/>
        <v>0</v>
      </c>
      <c r="W50" s="120">
        <f t="shared" si="18"/>
        <v>0</v>
      </c>
      <c r="X50" s="120">
        <f t="shared" si="18"/>
        <v>0</v>
      </c>
      <c r="Y50" s="71"/>
      <c r="Z50" s="68">
        <f>+H50*tab!F$16</f>
        <v>0</v>
      </c>
      <c r="AA50" s="68">
        <f>+I50*tab!G$16</f>
        <v>0</v>
      </c>
      <c r="AB50" s="68">
        <f>+J50*tab!H$16</f>
        <v>0</v>
      </c>
      <c r="AC50" s="68">
        <f>+K50*tab!I$16</f>
        <v>0</v>
      </c>
      <c r="AD50" s="68">
        <f>+L50*tab!J$16</f>
        <v>0</v>
      </c>
      <c r="AE50" s="71"/>
      <c r="AF50" s="153">
        <v>0</v>
      </c>
      <c r="AG50" s="120">
        <f t="shared" si="20"/>
        <v>0</v>
      </c>
      <c r="AH50" s="120">
        <f t="shared" si="20"/>
        <v>0</v>
      </c>
      <c r="AI50" s="120">
        <f t="shared" si="14"/>
        <v>0</v>
      </c>
      <c r="AJ50" s="120">
        <f t="shared" si="14"/>
        <v>0</v>
      </c>
      <c r="AK50" s="92"/>
      <c r="AL50" s="134"/>
    </row>
    <row r="51" spans="2:38" s="113" customFormat="1" x14ac:dyDescent="0.2">
      <c r="B51" s="1073"/>
      <c r="C51" s="150"/>
      <c r="D51" s="50">
        <v>37</v>
      </c>
      <c r="E51" s="151" t="s">
        <v>671</v>
      </c>
      <c r="F51" s="923" t="s">
        <v>312</v>
      </c>
      <c r="G51" s="1088"/>
      <c r="H51" s="925">
        <v>0</v>
      </c>
      <c r="I51" s="119">
        <f t="shared" si="17"/>
        <v>0</v>
      </c>
      <c r="J51" s="119">
        <f t="shared" si="17"/>
        <v>0</v>
      </c>
      <c r="K51" s="119">
        <f t="shared" si="17"/>
        <v>0</v>
      </c>
      <c r="L51" s="119">
        <f t="shared" si="17"/>
        <v>0</v>
      </c>
      <c r="M51" s="71"/>
      <c r="N51" s="68">
        <f>H51*tab!F$15</f>
        <v>0</v>
      </c>
      <c r="O51" s="68">
        <f>I51*tab!G$15</f>
        <v>0</v>
      </c>
      <c r="P51" s="68">
        <f>J51*tab!H$15</f>
        <v>0</v>
      </c>
      <c r="Q51" s="68">
        <f>K51*tab!I$15</f>
        <v>0</v>
      </c>
      <c r="R51" s="68">
        <f>L51*tab!J$15</f>
        <v>0</v>
      </c>
      <c r="S51" s="71"/>
      <c r="T51" s="120">
        <v>0</v>
      </c>
      <c r="U51" s="120">
        <f t="shared" si="19"/>
        <v>0</v>
      </c>
      <c r="V51" s="120">
        <f t="shared" si="18"/>
        <v>0</v>
      </c>
      <c r="W51" s="120">
        <f t="shared" si="18"/>
        <v>0</v>
      </c>
      <c r="X51" s="120">
        <f t="shared" si="18"/>
        <v>0</v>
      </c>
      <c r="Y51" s="71"/>
      <c r="Z51" s="68">
        <f>+H51*tab!F$16</f>
        <v>0</v>
      </c>
      <c r="AA51" s="68">
        <f>+I51*tab!G$16</f>
        <v>0</v>
      </c>
      <c r="AB51" s="68">
        <f>+J51*tab!H$16</f>
        <v>0</v>
      </c>
      <c r="AC51" s="68">
        <f>+K51*tab!I$16</f>
        <v>0</v>
      </c>
      <c r="AD51" s="68">
        <f>+L51*tab!J$16</f>
        <v>0</v>
      </c>
      <c r="AE51" s="71"/>
      <c r="AF51" s="153">
        <v>0</v>
      </c>
      <c r="AG51" s="120">
        <f t="shared" si="20"/>
        <v>0</v>
      </c>
      <c r="AH51" s="120">
        <f t="shared" si="20"/>
        <v>0</v>
      </c>
      <c r="AI51" s="120">
        <f t="shared" si="14"/>
        <v>0</v>
      </c>
      <c r="AJ51" s="120">
        <f t="shared" si="14"/>
        <v>0</v>
      </c>
      <c r="AK51" s="92"/>
      <c r="AL51" s="134"/>
    </row>
    <row r="52" spans="2:38" s="113" customFormat="1" x14ac:dyDescent="0.2">
      <c r="B52" s="1073"/>
      <c r="C52" s="150"/>
      <c r="D52" s="50">
        <v>38</v>
      </c>
      <c r="E52" s="151" t="s">
        <v>672</v>
      </c>
      <c r="F52" s="923" t="s">
        <v>312</v>
      </c>
      <c r="G52" s="1088"/>
      <c r="H52" s="925">
        <v>0</v>
      </c>
      <c r="I52" s="119">
        <f t="shared" si="17"/>
        <v>0</v>
      </c>
      <c r="J52" s="119">
        <f t="shared" si="17"/>
        <v>0</v>
      </c>
      <c r="K52" s="119">
        <f t="shared" si="17"/>
        <v>0</v>
      </c>
      <c r="L52" s="119">
        <f t="shared" si="17"/>
        <v>0</v>
      </c>
      <c r="M52" s="71"/>
      <c r="N52" s="68">
        <f>H52*tab!F$15</f>
        <v>0</v>
      </c>
      <c r="O52" s="68">
        <f>I52*tab!G$15</f>
        <v>0</v>
      </c>
      <c r="P52" s="68">
        <f>J52*tab!H$15</f>
        <v>0</v>
      </c>
      <c r="Q52" s="68">
        <f>K52*tab!I$15</f>
        <v>0</v>
      </c>
      <c r="R52" s="68">
        <f>L52*tab!J$15</f>
        <v>0</v>
      </c>
      <c r="S52" s="71"/>
      <c r="T52" s="120">
        <v>0</v>
      </c>
      <c r="U52" s="120">
        <f t="shared" si="19"/>
        <v>0</v>
      </c>
      <c r="V52" s="120">
        <f t="shared" si="18"/>
        <v>0</v>
      </c>
      <c r="W52" s="120">
        <f t="shared" si="18"/>
        <v>0</v>
      </c>
      <c r="X52" s="120">
        <f t="shared" si="18"/>
        <v>0</v>
      </c>
      <c r="Y52" s="71"/>
      <c r="Z52" s="68">
        <f>+H52*tab!F$16</f>
        <v>0</v>
      </c>
      <c r="AA52" s="68">
        <f>+I52*tab!G$16</f>
        <v>0</v>
      </c>
      <c r="AB52" s="68">
        <f>+J52*tab!H$16</f>
        <v>0</v>
      </c>
      <c r="AC52" s="68">
        <f>+K52*tab!I$16</f>
        <v>0</v>
      </c>
      <c r="AD52" s="68">
        <f>+L52*tab!J$16</f>
        <v>0</v>
      </c>
      <c r="AE52" s="71"/>
      <c r="AF52" s="153">
        <v>0</v>
      </c>
      <c r="AG52" s="120">
        <f t="shared" si="20"/>
        <v>0</v>
      </c>
      <c r="AH52" s="120">
        <f t="shared" si="20"/>
        <v>0</v>
      </c>
      <c r="AI52" s="120">
        <f t="shared" si="14"/>
        <v>0</v>
      </c>
      <c r="AJ52" s="120">
        <f t="shared" si="14"/>
        <v>0</v>
      </c>
      <c r="AK52" s="92"/>
      <c r="AL52" s="134"/>
    </row>
    <row r="53" spans="2:38" s="113" customFormat="1" x14ac:dyDescent="0.2">
      <c r="B53" s="1073"/>
      <c r="C53" s="150"/>
      <c r="D53" s="50">
        <v>39</v>
      </c>
      <c r="E53" s="151" t="s">
        <v>673</v>
      </c>
      <c r="F53" s="923" t="s">
        <v>312</v>
      </c>
      <c r="G53" s="1088"/>
      <c r="H53" s="925">
        <v>0</v>
      </c>
      <c r="I53" s="119">
        <f t="shared" si="17"/>
        <v>0</v>
      </c>
      <c r="J53" s="119">
        <f t="shared" si="17"/>
        <v>0</v>
      </c>
      <c r="K53" s="119">
        <f t="shared" si="17"/>
        <v>0</v>
      </c>
      <c r="L53" s="119">
        <f t="shared" si="17"/>
        <v>0</v>
      </c>
      <c r="M53" s="71"/>
      <c r="N53" s="68">
        <f>H53*tab!F$15</f>
        <v>0</v>
      </c>
      <c r="O53" s="68">
        <f>I53*tab!G$15</f>
        <v>0</v>
      </c>
      <c r="P53" s="68">
        <f>J53*tab!H$15</f>
        <v>0</v>
      </c>
      <c r="Q53" s="68">
        <f>K53*tab!I$15</f>
        <v>0</v>
      </c>
      <c r="R53" s="68">
        <f>L53*tab!J$15</f>
        <v>0</v>
      </c>
      <c r="S53" s="71"/>
      <c r="T53" s="120">
        <v>0</v>
      </c>
      <c r="U53" s="120">
        <f t="shared" si="19"/>
        <v>0</v>
      </c>
      <c r="V53" s="120">
        <f t="shared" si="18"/>
        <v>0</v>
      </c>
      <c r="W53" s="120">
        <f t="shared" si="18"/>
        <v>0</v>
      </c>
      <c r="X53" s="120">
        <f t="shared" si="18"/>
        <v>0</v>
      </c>
      <c r="Y53" s="71"/>
      <c r="Z53" s="68">
        <f>+H53*tab!F$16</f>
        <v>0</v>
      </c>
      <c r="AA53" s="68">
        <f>+I53*tab!G$16</f>
        <v>0</v>
      </c>
      <c r="AB53" s="68">
        <f>+J53*tab!H$16</f>
        <v>0</v>
      </c>
      <c r="AC53" s="68">
        <f>+K53*tab!I$16</f>
        <v>0</v>
      </c>
      <c r="AD53" s="68">
        <f>+L53*tab!J$16</f>
        <v>0</v>
      </c>
      <c r="AE53" s="71"/>
      <c r="AF53" s="153">
        <v>0</v>
      </c>
      <c r="AG53" s="120">
        <f t="shared" si="20"/>
        <v>0</v>
      </c>
      <c r="AH53" s="120">
        <f t="shared" si="20"/>
        <v>0</v>
      </c>
      <c r="AI53" s="120">
        <f t="shared" si="14"/>
        <v>0</v>
      </c>
      <c r="AJ53" s="120">
        <f t="shared" si="14"/>
        <v>0</v>
      </c>
      <c r="AK53" s="92"/>
      <c r="AL53" s="134"/>
    </row>
    <row r="54" spans="2:38" s="113" customFormat="1" x14ac:dyDescent="0.2">
      <c r="B54" s="1073"/>
      <c r="C54" s="150"/>
      <c r="D54" s="50">
        <v>40</v>
      </c>
      <c r="E54" s="151" t="s">
        <v>674</v>
      </c>
      <c r="F54" s="923" t="s">
        <v>312</v>
      </c>
      <c r="G54" s="1088"/>
      <c r="H54" s="925">
        <v>0</v>
      </c>
      <c r="I54" s="119">
        <f t="shared" si="17"/>
        <v>0</v>
      </c>
      <c r="J54" s="119">
        <f t="shared" si="17"/>
        <v>0</v>
      </c>
      <c r="K54" s="119">
        <f t="shared" si="17"/>
        <v>0</v>
      </c>
      <c r="L54" s="119">
        <f t="shared" si="17"/>
        <v>0</v>
      </c>
      <c r="M54" s="71"/>
      <c r="N54" s="68">
        <f>H54*tab!F$15</f>
        <v>0</v>
      </c>
      <c r="O54" s="68">
        <f>I54*tab!G$15</f>
        <v>0</v>
      </c>
      <c r="P54" s="68">
        <f>J54*tab!H$15</f>
        <v>0</v>
      </c>
      <c r="Q54" s="68">
        <f>K54*tab!I$15</f>
        <v>0</v>
      </c>
      <c r="R54" s="68">
        <f>L54*tab!J$15</f>
        <v>0</v>
      </c>
      <c r="S54" s="71"/>
      <c r="T54" s="120">
        <v>0</v>
      </c>
      <c r="U54" s="120">
        <f t="shared" si="19"/>
        <v>0</v>
      </c>
      <c r="V54" s="120">
        <f t="shared" si="18"/>
        <v>0</v>
      </c>
      <c r="W54" s="120">
        <f t="shared" si="18"/>
        <v>0</v>
      </c>
      <c r="X54" s="120">
        <f t="shared" si="18"/>
        <v>0</v>
      </c>
      <c r="Y54" s="71"/>
      <c r="Z54" s="68">
        <f>+H54*tab!F$16</f>
        <v>0</v>
      </c>
      <c r="AA54" s="68">
        <f>+I54*tab!G$16</f>
        <v>0</v>
      </c>
      <c r="AB54" s="68">
        <f>+J54*tab!H$16</f>
        <v>0</v>
      </c>
      <c r="AC54" s="68">
        <f>+K54*tab!I$16</f>
        <v>0</v>
      </c>
      <c r="AD54" s="68">
        <f>+L54*tab!J$16</f>
        <v>0</v>
      </c>
      <c r="AE54" s="71"/>
      <c r="AF54" s="153">
        <v>0</v>
      </c>
      <c r="AG54" s="120">
        <f t="shared" si="20"/>
        <v>0</v>
      </c>
      <c r="AH54" s="120">
        <f t="shared" si="20"/>
        <v>0</v>
      </c>
      <c r="AI54" s="120">
        <f t="shared" si="14"/>
        <v>0</v>
      </c>
      <c r="AJ54" s="120">
        <f t="shared" si="14"/>
        <v>0</v>
      </c>
      <c r="AK54" s="92"/>
      <c r="AL54" s="134"/>
    </row>
    <row r="55" spans="2:38" s="113" customFormat="1" x14ac:dyDescent="0.2">
      <c r="B55" s="1073"/>
      <c r="C55" s="150"/>
      <c r="D55" s="50">
        <v>41</v>
      </c>
      <c r="E55" s="151" t="s">
        <v>675</v>
      </c>
      <c r="F55" s="923" t="s">
        <v>312</v>
      </c>
      <c r="G55" s="1088"/>
      <c r="H55" s="925">
        <v>0</v>
      </c>
      <c r="I55" s="119">
        <f t="shared" si="17"/>
        <v>0</v>
      </c>
      <c r="J55" s="119">
        <f t="shared" si="17"/>
        <v>0</v>
      </c>
      <c r="K55" s="119">
        <f t="shared" si="17"/>
        <v>0</v>
      </c>
      <c r="L55" s="119">
        <f t="shared" si="17"/>
        <v>0</v>
      </c>
      <c r="M55" s="71"/>
      <c r="N55" s="68">
        <f>H55*tab!F$15</f>
        <v>0</v>
      </c>
      <c r="O55" s="68">
        <f>I55*tab!G$15</f>
        <v>0</v>
      </c>
      <c r="P55" s="68">
        <f>J55*tab!H$15</f>
        <v>0</v>
      </c>
      <c r="Q55" s="68">
        <f>K55*tab!I$15</f>
        <v>0</v>
      </c>
      <c r="R55" s="68">
        <f>L55*tab!J$15</f>
        <v>0</v>
      </c>
      <c r="S55" s="71"/>
      <c r="T55" s="120">
        <v>0</v>
      </c>
      <c r="U55" s="120">
        <f t="shared" si="19"/>
        <v>0</v>
      </c>
      <c r="V55" s="120">
        <f t="shared" si="18"/>
        <v>0</v>
      </c>
      <c r="W55" s="120">
        <f t="shared" si="18"/>
        <v>0</v>
      </c>
      <c r="X55" s="120">
        <f t="shared" si="18"/>
        <v>0</v>
      </c>
      <c r="Y55" s="71"/>
      <c r="Z55" s="68">
        <f>+H55*tab!F$16</f>
        <v>0</v>
      </c>
      <c r="AA55" s="68">
        <f>+I55*tab!G$16</f>
        <v>0</v>
      </c>
      <c r="AB55" s="68">
        <f>+J55*tab!H$16</f>
        <v>0</v>
      </c>
      <c r="AC55" s="68">
        <f>+K55*tab!I$16</f>
        <v>0</v>
      </c>
      <c r="AD55" s="68">
        <f>+L55*tab!J$16</f>
        <v>0</v>
      </c>
      <c r="AE55" s="71"/>
      <c r="AF55" s="153">
        <v>0</v>
      </c>
      <c r="AG55" s="120">
        <f t="shared" si="20"/>
        <v>0</v>
      </c>
      <c r="AH55" s="120">
        <f t="shared" si="20"/>
        <v>0</v>
      </c>
      <c r="AI55" s="120">
        <f t="shared" si="14"/>
        <v>0</v>
      </c>
      <c r="AJ55" s="120">
        <f t="shared" si="14"/>
        <v>0</v>
      </c>
      <c r="AK55" s="92"/>
      <c r="AL55" s="134"/>
    </row>
    <row r="56" spans="2:38" s="113" customFormat="1" x14ac:dyDescent="0.2">
      <c r="B56" s="1073"/>
      <c r="C56" s="150"/>
      <c r="D56" s="50">
        <v>42</v>
      </c>
      <c r="E56" s="151" t="s">
        <v>676</v>
      </c>
      <c r="F56" s="923" t="s">
        <v>312</v>
      </c>
      <c r="G56" s="1088"/>
      <c r="H56" s="925">
        <v>0</v>
      </c>
      <c r="I56" s="119">
        <f t="shared" si="17"/>
        <v>0</v>
      </c>
      <c r="J56" s="119">
        <f t="shared" si="17"/>
        <v>0</v>
      </c>
      <c r="K56" s="119">
        <f t="shared" si="17"/>
        <v>0</v>
      </c>
      <c r="L56" s="119">
        <f t="shared" si="17"/>
        <v>0</v>
      </c>
      <c r="M56" s="71"/>
      <c r="N56" s="68">
        <f>H56*tab!F$15</f>
        <v>0</v>
      </c>
      <c r="O56" s="68">
        <f>I56*tab!G$15</f>
        <v>0</v>
      </c>
      <c r="P56" s="68">
        <f>J56*tab!H$15</f>
        <v>0</v>
      </c>
      <c r="Q56" s="68">
        <f>K56*tab!I$15</f>
        <v>0</v>
      </c>
      <c r="R56" s="68">
        <f>L56*tab!J$15</f>
        <v>0</v>
      </c>
      <c r="S56" s="71"/>
      <c r="T56" s="120">
        <v>0</v>
      </c>
      <c r="U56" s="120">
        <f t="shared" si="19"/>
        <v>0</v>
      </c>
      <c r="V56" s="120">
        <f t="shared" si="18"/>
        <v>0</v>
      </c>
      <c r="W56" s="120">
        <f t="shared" si="18"/>
        <v>0</v>
      </c>
      <c r="X56" s="120">
        <f t="shared" si="18"/>
        <v>0</v>
      </c>
      <c r="Y56" s="71"/>
      <c r="Z56" s="68">
        <f>+H56*tab!F$16</f>
        <v>0</v>
      </c>
      <c r="AA56" s="68">
        <f>+I56*tab!G$16</f>
        <v>0</v>
      </c>
      <c r="AB56" s="68">
        <f>+J56*tab!H$16</f>
        <v>0</v>
      </c>
      <c r="AC56" s="68">
        <f>+K56*tab!I$16</f>
        <v>0</v>
      </c>
      <c r="AD56" s="68">
        <f>+L56*tab!J$16</f>
        <v>0</v>
      </c>
      <c r="AE56" s="71"/>
      <c r="AF56" s="153">
        <v>0</v>
      </c>
      <c r="AG56" s="120">
        <f t="shared" si="20"/>
        <v>0</v>
      </c>
      <c r="AH56" s="120">
        <f t="shared" si="20"/>
        <v>0</v>
      </c>
      <c r="AI56" s="120">
        <f t="shared" si="14"/>
        <v>0</v>
      </c>
      <c r="AJ56" s="120">
        <f t="shared" si="14"/>
        <v>0</v>
      </c>
      <c r="AK56" s="92"/>
      <c r="AL56" s="134"/>
    </row>
    <row r="57" spans="2:38" s="113" customFormat="1" x14ac:dyDescent="0.2">
      <c r="B57" s="1073"/>
      <c r="C57" s="150"/>
      <c r="D57" s="50">
        <v>43</v>
      </c>
      <c r="E57" s="151" t="s">
        <v>677</v>
      </c>
      <c r="F57" s="923" t="s">
        <v>312</v>
      </c>
      <c r="G57" s="1088"/>
      <c r="H57" s="925">
        <v>0</v>
      </c>
      <c r="I57" s="119">
        <f t="shared" ref="I57:L76" si="21">H57</f>
        <v>0</v>
      </c>
      <c r="J57" s="119">
        <f t="shared" si="21"/>
        <v>0</v>
      </c>
      <c r="K57" s="119">
        <f t="shared" si="21"/>
        <v>0</v>
      </c>
      <c r="L57" s="119">
        <f t="shared" si="21"/>
        <v>0</v>
      </c>
      <c r="M57" s="71"/>
      <c r="N57" s="68">
        <f>H57*tab!F$15</f>
        <v>0</v>
      </c>
      <c r="O57" s="68">
        <f>I57*tab!G$15</f>
        <v>0</v>
      </c>
      <c r="P57" s="68">
        <f>J57*tab!H$15</f>
        <v>0</v>
      </c>
      <c r="Q57" s="68">
        <f>K57*tab!I$15</f>
        <v>0</v>
      </c>
      <c r="R57" s="68">
        <f>L57*tab!J$15</f>
        <v>0</v>
      </c>
      <c r="S57" s="71"/>
      <c r="T57" s="120">
        <v>0</v>
      </c>
      <c r="U57" s="120">
        <f t="shared" si="19"/>
        <v>0</v>
      </c>
      <c r="V57" s="120">
        <f t="shared" si="18"/>
        <v>0</v>
      </c>
      <c r="W57" s="120">
        <f t="shared" si="18"/>
        <v>0</v>
      </c>
      <c r="X57" s="120">
        <f t="shared" si="18"/>
        <v>0</v>
      </c>
      <c r="Y57" s="71"/>
      <c r="Z57" s="68">
        <f>+H57*tab!F$16</f>
        <v>0</v>
      </c>
      <c r="AA57" s="68">
        <f>+I57*tab!G$16</f>
        <v>0</v>
      </c>
      <c r="AB57" s="68">
        <f>+J57*tab!H$16</f>
        <v>0</v>
      </c>
      <c r="AC57" s="68">
        <f>+K57*tab!I$16</f>
        <v>0</v>
      </c>
      <c r="AD57" s="68">
        <f>+L57*tab!J$16</f>
        <v>0</v>
      </c>
      <c r="AE57" s="71"/>
      <c r="AF57" s="153">
        <v>0</v>
      </c>
      <c r="AG57" s="120">
        <f t="shared" si="20"/>
        <v>0</v>
      </c>
      <c r="AH57" s="120">
        <f t="shared" si="20"/>
        <v>0</v>
      </c>
      <c r="AI57" s="120">
        <f t="shared" si="14"/>
        <v>0</v>
      </c>
      <c r="AJ57" s="120">
        <f t="shared" si="14"/>
        <v>0</v>
      </c>
      <c r="AK57" s="92"/>
      <c r="AL57" s="134"/>
    </row>
    <row r="58" spans="2:38" s="113" customFormat="1" x14ac:dyDescent="0.2">
      <c r="B58" s="1073"/>
      <c r="C58" s="150"/>
      <c r="D58" s="50">
        <v>44</v>
      </c>
      <c r="E58" s="151" t="s">
        <v>678</v>
      </c>
      <c r="F58" s="923" t="s">
        <v>312</v>
      </c>
      <c r="G58" s="1088"/>
      <c r="H58" s="925">
        <v>0</v>
      </c>
      <c r="I58" s="119">
        <f t="shared" si="21"/>
        <v>0</v>
      </c>
      <c r="J58" s="119">
        <f t="shared" si="21"/>
        <v>0</v>
      </c>
      <c r="K58" s="119">
        <f t="shared" si="21"/>
        <v>0</v>
      </c>
      <c r="L58" s="119">
        <f t="shared" si="21"/>
        <v>0</v>
      </c>
      <c r="M58" s="71"/>
      <c r="N58" s="68">
        <f>H58*tab!F$15</f>
        <v>0</v>
      </c>
      <c r="O58" s="68">
        <f>I58*tab!G$15</f>
        <v>0</v>
      </c>
      <c r="P58" s="68">
        <f>J58*tab!H$15</f>
        <v>0</v>
      </c>
      <c r="Q58" s="68">
        <f>K58*tab!I$15</f>
        <v>0</v>
      </c>
      <c r="R58" s="68">
        <f>L58*tab!J$15</f>
        <v>0</v>
      </c>
      <c r="S58" s="71"/>
      <c r="T58" s="120">
        <v>0</v>
      </c>
      <c r="U58" s="120">
        <f t="shared" si="19"/>
        <v>0</v>
      </c>
      <c r="V58" s="120">
        <f t="shared" si="18"/>
        <v>0</v>
      </c>
      <c r="W58" s="120">
        <f t="shared" si="18"/>
        <v>0</v>
      </c>
      <c r="X58" s="120">
        <f t="shared" si="18"/>
        <v>0</v>
      </c>
      <c r="Y58" s="71"/>
      <c r="Z58" s="68">
        <f>+H58*tab!F$16</f>
        <v>0</v>
      </c>
      <c r="AA58" s="68">
        <f>+I58*tab!G$16</f>
        <v>0</v>
      </c>
      <c r="AB58" s="68">
        <f>+J58*tab!H$16</f>
        <v>0</v>
      </c>
      <c r="AC58" s="68">
        <f>+K58*tab!I$16</f>
        <v>0</v>
      </c>
      <c r="AD58" s="68">
        <f>+L58*tab!J$16</f>
        <v>0</v>
      </c>
      <c r="AE58" s="71"/>
      <c r="AF58" s="153">
        <v>0</v>
      </c>
      <c r="AG58" s="120">
        <f t="shared" si="20"/>
        <v>0</v>
      </c>
      <c r="AH58" s="120">
        <f t="shared" si="20"/>
        <v>0</v>
      </c>
      <c r="AI58" s="120">
        <f t="shared" si="14"/>
        <v>0</v>
      </c>
      <c r="AJ58" s="120">
        <f t="shared" si="14"/>
        <v>0</v>
      </c>
      <c r="AK58" s="92"/>
      <c r="AL58" s="134"/>
    </row>
    <row r="59" spans="2:38" s="113" customFormat="1" x14ac:dyDescent="0.2">
      <c r="B59" s="1073"/>
      <c r="C59" s="150"/>
      <c r="D59" s="50">
        <v>45</v>
      </c>
      <c r="E59" s="151" t="s">
        <v>679</v>
      </c>
      <c r="F59" s="923" t="s">
        <v>312</v>
      </c>
      <c r="G59" s="1088"/>
      <c r="H59" s="925">
        <v>0</v>
      </c>
      <c r="I59" s="119">
        <f t="shared" si="21"/>
        <v>0</v>
      </c>
      <c r="J59" s="119">
        <f t="shared" si="21"/>
        <v>0</v>
      </c>
      <c r="K59" s="119">
        <f t="shared" si="21"/>
        <v>0</v>
      </c>
      <c r="L59" s="119">
        <f t="shared" si="21"/>
        <v>0</v>
      </c>
      <c r="M59" s="71"/>
      <c r="N59" s="68">
        <f>H59*tab!F$15</f>
        <v>0</v>
      </c>
      <c r="O59" s="68">
        <f>I59*tab!G$15</f>
        <v>0</v>
      </c>
      <c r="P59" s="68">
        <f>J59*tab!H$15</f>
        <v>0</v>
      </c>
      <c r="Q59" s="68">
        <f>K59*tab!I$15</f>
        <v>0</v>
      </c>
      <c r="R59" s="68">
        <f>L59*tab!J$15</f>
        <v>0</v>
      </c>
      <c r="S59" s="71"/>
      <c r="T59" s="120">
        <v>0</v>
      </c>
      <c r="U59" s="120">
        <f t="shared" si="19"/>
        <v>0</v>
      </c>
      <c r="V59" s="120">
        <f t="shared" si="18"/>
        <v>0</v>
      </c>
      <c r="W59" s="120">
        <f t="shared" si="18"/>
        <v>0</v>
      </c>
      <c r="X59" s="120">
        <f t="shared" si="18"/>
        <v>0</v>
      </c>
      <c r="Y59" s="71"/>
      <c r="Z59" s="68">
        <f>+H59*tab!F$16</f>
        <v>0</v>
      </c>
      <c r="AA59" s="68">
        <f>+I59*tab!G$16</f>
        <v>0</v>
      </c>
      <c r="AB59" s="68">
        <f>+J59*tab!H$16</f>
        <v>0</v>
      </c>
      <c r="AC59" s="68">
        <f>+K59*tab!I$16</f>
        <v>0</v>
      </c>
      <c r="AD59" s="68">
        <f>+L59*tab!J$16</f>
        <v>0</v>
      </c>
      <c r="AE59" s="71"/>
      <c r="AF59" s="153">
        <v>0</v>
      </c>
      <c r="AG59" s="120">
        <f t="shared" si="20"/>
        <v>0</v>
      </c>
      <c r="AH59" s="120">
        <f t="shared" si="20"/>
        <v>0</v>
      </c>
      <c r="AI59" s="120">
        <f t="shared" si="14"/>
        <v>0</v>
      </c>
      <c r="AJ59" s="120">
        <f t="shared" si="14"/>
        <v>0</v>
      </c>
      <c r="AK59" s="92"/>
      <c r="AL59" s="134"/>
    </row>
    <row r="60" spans="2:38" s="113" customFormat="1" x14ac:dyDescent="0.2">
      <c r="B60" s="1073"/>
      <c r="C60" s="150"/>
      <c r="D60" s="50">
        <v>46</v>
      </c>
      <c r="E60" s="151" t="s">
        <v>680</v>
      </c>
      <c r="F60" s="923" t="s">
        <v>312</v>
      </c>
      <c r="G60" s="1088"/>
      <c r="H60" s="925">
        <v>0</v>
      </c>
      <c r="I60" s="119">
        <f t="shared" si="21"/>
        <v>0</v>
      </c>
      <c r="J60" s="119">
        <f t="shared" si="21"/>
        <v>0</v>
      </c>
      <c r="K60" s="119">
        <f t="shared" si="21"/>
        <v>0</v>
      </c>
      <c r="L60" s="119">
        <f t="shared" si="21"/>
        <v>0</v>
      </c>
      <c r="M60" s="71"/>
      <c r="N60" s="68">
        <f>H60*tab!F$15</f>
        <v>0</v>
      </c>
      <c r="O60" s="68">
        <f>I60*tab!G$15</f>
        <v>0</v>
      </c>
      <c r="P60" s="68">
        <f>J60*tab!H$15</f>
        <v>0</v>
      </c>
      <c r="Q60" s="68">
        <f>K60*tab!I$15</f>
        <v>0</v>
      </c>
      <c r="R60" s="68">
        <f>L60*tab!J$15</f>
        <v>0</v>
      </c>
      <c r="S60" s="71"/>
      <c r="T60" s="120">
        <v>0</v>
      </c>
      <c r="U60" s="120">
        <f t="shared" si="19"/>
        <v>0</v>
      </c>
      <c r="V60" s="120">
        <f t="shared" si="18"/>
        <v>0</v>
      </c>
      <c r="W60" s="120">
        <f t="shared" si="18"/>
        <v>0</v>
      </c>
      <c r="X60" s="120">
        <f t="shared" si="18"/>
        <v>0</v>
      </c>
      <c r="Y60" s="71"/>
      <c r="Z60" s="68">
        <f>+H60*tab!F$16</f>
        <v>0</v>
      </c>
      <c r="AA60" s="68">
        <f>+I60*tab!G$16</f>
        <v>0</v>
      </c>
      <c r="AB60" s="68">
        <f>+J60*tab!H$16</f>
        <v>0</v>
      </c>
      <c r="AC60" s="68">
        <f>+K60*tab!I$16</f>
        <v>0</v>
      </c>
      <c r="AD60" s="68">
        <f>+L60*tab!J$16</f>
        <v>0</v>
      </c>
      <c r="AE60" s="71"/>
      <c r="AF60" s="153">
        <v>0</v>
      </c>
      <c r="AG60" s="120">
        <f t="shared" si="20"/>
        <v>0</v>
      </c>
      <c r="AH60" s="120">
        <f t="shared" si="20"/>
        <v>0</v>
      </c>
      <c r="AI60" s="120">
        <f t="shared" si="14"/>
        <v>0</v>
      </c>
      <c r="AJ60" s="120">
        <f t="shared" si="14"/>
        <v>0</v>
      </c>
      <c r="AK60" s="92"/>
      <c r="AL60" s="134"/>
    </row>
    <row r="61" spans="2:38" s="113" customFormat="1" x14ac:dyDescent="0.2">
      <c r="B61" s="1073"/>
      <c r="C61" s="150"/>
      <c r="D61" s="50">
        <v>47</v>
      </c>
      <c r="E61" s="151" t="s">
        <v>681</v>
      </c>
      <c r="F61" s="923" t="s">
        <v>312</v>
      </c>
      <c r="G61" s="1088"/>
      <c r="H61" s="925">
        <v>0</v>
      </c>
      <c r="I61" s="119">
        <f t="shared" si="21"/>
        <v>0</v>
      </c>
      <c r="J61" s="119">
        <f t="shared" si="21"/>
        <v>0</v>
      </c>
      <c r="K61" s="119">
        <f t="shared" si="21"/>
        <v>0</v>
      </c>
      <c r="L61" s="119">
        <f t="shared" si="21"/>
        <v>0</v>
      </c>
      <c r="M61" s="71"/>
      <c r="N61" s="68">
        <f>H61*tab!F$15</f>
        <v>0</v>
      </c>
      <c r="O61" s="68">
        <f>I61*tab!G$15</f>
        <v>0</v>
      </c>
      <c r="P61" s="68">
        <f>J61*tab!H$15</f>
        <v>0</v>
      </c>
      <c r="Q61" s="68">
        <f>K61*tab!I$15</f>
        <v>0</v>
      </c>
      <c r="R61" s="68">
        <f>L61*tab!J$15</f>
        <v>0</v>
      </c>
      <c r="S61" s="71"/>
      <c r="T61" s="120">
        <v>0</v>
      </c>
      <c r="U61" s="120">
        <f t="shared" si="19"/>
        <v>0</v>
      </c>
      <c r="V61" s="120">
        <f t="shared" si="18"/>
        <v>0</v>
      </c>
      <c r="W61" s="120">
        <f t="shared" si="18"/>
        <v>0</v>
      </c>
      <c r="X61" s="120">
        <f t="shared" si="18"/>
        <v>0</v>
      </c>
      <c r="Y61" s="71"/>
      <c r="Z61" s="68">
        <f>+H61*tab!F$16</f>
        <v>0</v>
      </c>
      <c r="AA61" s="68">
        <f>+I61*tab!G$16</f>
        <v>0</v>
      </c>
      <c r="AB61" s="68">
        <f>+J61*tab!H$16</f>
        <v>0</v>
      </c>
      <c r="AC61" s="68">
        <f>+K61*tab!I$16</f>
        <v>0</v>
      </c>
      <c r="AD61" s="68">
        <f>+L61*tab!J$16</f>
        <v>0</v>
      </c>
      <c r="AE61" s="71"/>
      <c r="AF61" s="153">
        <v>0</v>
      </c>
      <c r="AG61" s="120">
        <f t="shared" si="20"/>
        <v>0</v>
      </c>
      <c r="AH61" s="120">
        <f t="shared" si="20"/>
        <v>0</v>
      </c>
      <c r="AI61" s="120">
        <f t="shared" si="14"/>
        <v>0</v>
      </c>
      <c r="AJ61" s="120">
        <f t="shared" si="14"/>
        <v>0</v>
      </c>
      <c r="AK61" s="92"/>
      <c r="AL61" s="134"/>
    </row>
    <row r="62" spans="2:38" s="113" customFormat="1" x14ac:dyDescent="0.2">
      <c r="B62" s="1073"/>
      <c r="C62" s="150"/>
      <c r="D62" s="50">
        <v>48</v>
      </c>
      <c r="E62" s="151" t="s">
        <v>682</v>
      </c>
      <c r="F62" s="923" t="s">
        <v>312</v>
      </c>
      <c r="G62" s="1088"/>
      <c r="H62" s="925">
        <v>0</v>
      </c>
      <c r="I62" s="119">
        <f t="shared" si="21"/>
        <v>0</v>
      </c>
      <c r="J62" s="119">
        <f t="shared" si="21"/>
        <v>0</v>
      </c>
      <c r="K62" s="119">
        <f t="shared" si="21"/>
        <v>0</v>
      </c>
      <c r="L62" s="119">
        <f t="shared" si="21"/>
        <v>0</v>
      </c>
      <c r="M62" s="71"/>
      <c r="N62" s="68">
        <f>H62*tab!F$15</f>
        <v>0</v>
      </c>
      <c r="O62" s="68">
        <f>I62*tab!G$15</f>
        <v>0</v>
      </c>
      <c r="P62" s="68">
        <f>J62*tab!H$15</f>
        <v>0</v>
      </c>
      <c r="Q62" s="68">
        <f>K62*tab!I$15</f>
        <v>0</v>
      </c>
      <c r="R62" s="68">
        <f>L62*tab!J$15</f>
        <v>0</v>
      </c>
      <c r="S62" s="71"/>
      <c r="T62" s="120">
        <v>0</v>
      </c>
      <c r="U62" s="120">
        <f t="shared" si="19"/>
        <v>0</v>
      </c>
      <c r="V62" s="120">
        <f t="shared" si="18"/>
        <v>0</v>
      </c>
      <c r="W62" s="120">
        <f t="shared" si="18"/>
        <v>0</v>
      </c>
      <c r="X62" s="120">
        <f t="shared" si="18"/>
        <v>0</v>
      </c>
      <c r="Y62" s="71"/>
      <c r="Z62" s="68">
        <f>+H62*tab!F$16</f>
        <v>0</v>
      </c>
      <c r="AA62" s="68">
        <f>+I62*tab!G$16</f>
        <v>0</v>
      </c>
      <c r="AB62" s="68">
        <f>+J62*tab!H$16</f>
        <v>0</v>
      </c>
      <c r="AC62" s="68">
        <f>+K62*tab!I$16</f>
        <v>0</v>
      </c>
      <c r="AD62" s="68">
        <f>+L62*tab!J$16</f>
        <v>0</v>
      </c>
      <c r="AE62" s="71"/>
      <c r="AF62" s="153">
        <v>0</v>
      </c>
      <c r="AG62" s="120">
        <f t="shared" si="20"/>
        <v>0</v>
      </c>
      <c r="AH62" s="120">
        <f t="shared" si="20"/>
        <v>0</v>
      </c>
      <c r="AI62" s="120">
        <f t="shared" si="14"/>
        <v>0</v>
      </c>
      <c r="AJ62" s="120">
        <f t="shared" si="14"/>
        <v>0</v>
      </c>
      <c r="AK62" s="92"/>
      <c r="AL62" s="134"/>
    </row>
    <row r="63" spans="2:38" s="113" customFormat="1" x14ac:dyDescent="0.2">
      <c r="B63" s="1073"/>
      <c r="C63" s="150"/>
      <c r="D63" s="50">
        <v>49</v>
      </c>
      <c r="E63" s="151" t="s">
        <v>683</v>
      </c>
      <c r="F63" s="923" t="s">
        <v>312</v>
      </c>
      <c r="G63" s="1088"/>
      <c r="H63" s="925">
        <v>0</v>
      </c>
      <c r="I63" s="119">
        <f t="shared" si="21"/>
        <v>0</v>
      </c>
      <c r="J63" s="119">
        <f t="shared" si="21"/>
        <v>0</v>
      </c>
      <c r="K63" s="119">
        <f t="shared" si="21"/>
        <v>0</v>
      </c>
      <c r="L63" s="119">
        <f t="shared" si="21"/>
        <v>0</v>
      </c>
      <c r="M63" s="71"/>
      <c r="N63" s="68">
        <f>H63*tab!F$15</f>
        <v>0</v>
      </c>
      <c r="O63" s="68">
        <f>I63*tab!G$15</f>
        <v>0</v>
      </c>
      <c r="P63" s="68">
        <f>J63*tab!H$15</f>
        <v>0</v>
      </c>
      <c r="Q63" s="68">
        <f>K63*tab!I$15</f>
        <v>0</v>
      </c>
      <c r="R63" s="68">
        <f>L63*tab!J$15</f>
        <v>0</v>
      </c>
      <c r="S63" s="71"/>
      <c r="T63" s="120">
        <v>0</v>
      </c>
      <c r="U63" s="120">
        <f t="shared" si="19"/>
        <v>0</v>
      </c>
      <c r="V63" s="120">
        <f t="shared" ref="V63:X82" si="22">U63</f>
        <v>0</v>
      </c>
      <c r="W63" s="120">
        <f t="shared" si="22"/>
        <v>0</v>
      </c>
      <c r="X63" s="120">
        <f t="shared" si="22"/>
        <v>0</v>
      </c>
      <c r="Y63" s="71"/>
      <c r="Z63" s="68">
        <f>+H63*tab!F$16</f>
        <v>0</v>
      </c>
      <c r="AA63" s="68">
        <f>+I63*tab!G$16</f>
        <v>0</v>
      </c>
      <c r="AB63" s="68">
        <f>+J63*tab!H$16</f>
        <v>0</v>
      </c>
      <c r="AC63" s="68">
        <f>+K63*tab!I$16</f>
        <v>0</v>
      </c>
      <c r="AD63" s="68">
        <f>+L63*tab!J$16</f>
        <v>0</v>
      </c>
      <c r="AE63" s="71"/>
      <c r="AF63" s="153">
        <v>0</v>
      </c>
      <c r="AG63" s="120">
        <f t="shared" si="20"/>
        <v>0</v>
      </c>
      <c r="AH63" s="120">
        <f t="shared" si="20"/>
        <v>0</v>
      </c>
      <c r="AI63" s="120">
        <f t="shared" si="14"/>
        <v>0</v>
      </c>
      <c r="AJ63" s="120">
        <f t="shared" si="14"/>
        <v>0</v>
      </c>
      <c r="AK63" s="92"/>
      <c r="AL63" s="134"/>
    </row>
    <row r="64" spans="2:38" s="113" customFormat="1" x14ac:dyDescent="0.2">
      <c r="B64" s="1073"/>
      <c r="C64" s="150"/>
      <c r="D64" s="50">
        <v>50</v>
      </c>
      <c r="E64" s="151" t="s">
        <v>684</v>
      </c>
      <c r="F64" s="923" t="s">
        <v>312</v>
      </c>
      <c r="G64" s="1088"/>
      <c r="H64" s="925">
        <v>0</v>
      </c>
      <c r="I64" s="119">
        <f t="shared" si="21"/>
        <v>0</v>
      </c>
      <c r="J64" s="119">
        <f t="shared" si="21"/>
        <v>0</v>
      </c>
      <c r="K64" s="119">
        <f t="shared" si="21"/>
        <v>0</v>
      </c>
      <c r="L64" s="119">
        <f t="shared" si="21"/>
        <v>0</v>
      </c>
      <c r="M64" s="71"/>
      <c r="N64" s="68">
        <f>H64*tab!F$15</f>
        <v>0</v>
      </c>
      <c r="O64" s="68">
        <f>I64*tab!G$15</f>
        <v>0</v>
      </c>
      <c r="P64" s="68">
        <f>J64*tab!H$15</f>
        <v>0</v>
      </c>
      <c r="Q64" s="68">
        <f>K64*tab!I$15</f>
        <v>0</v>
      </c>
      <c r="R64" s="68">
        <f>L64*tab!J$15</f>
        <v>0</v>
      </c>
      <c r="S64" s="71"/>
      <c r="T64" s="120">
        <v>0</v>
      </c>
      <c r="U64" s="120">
        <f t="shared" si="19"/>
        <v>0</v>
      </c>
      <c r="V64" s="120">
        <f t="shared" si="22"/>
        <v>0</v>
      </c>
      <c r="W64" s="120">
        <f t="shared" si="22"/>
        <v>0</v>
      </c>
      <c r="X64" s="120">
        <f t="shared" si="22"/>
        <v>0</v>
      </c>
      <c r="Y64" s="71"/>
      <c r="Z64" s="68">
        <f>+H64*tab!F$16</f>
        <v>0</v>
      </c>
      <c r="AA64" s="68">
        <f>+I64*tab!G$16</f>
        <v>0</v>
      </c>
      <c r="AB64" s="68">
        <f>+J64*tab!H$16</f>
        <v>0</v>
      </c>
      <c r="AC64" s="68">
        <f>+K64*tab!I$16</f>
        <v>0</v>
      </c>
      <c r="AD64" s="68">
        <f>+L64*tab!J$16</f>
        <v>0</v>
      </c>
      <c r="AE64" s="71"/>
      <c r="AF64" s="153">
        <v>0</v>
      </c>
      <c r="AG64" s="120">
        <f t="shared" si="20"/>
        <v>0</v>
      </c>
      <c r="AH64" s="120">
        <f t="shared" si="20"/>
        <v>0</v>
      </c>
      <c r="AI64" s="120">
        <f t="shared" si="14"/>
        <v>0</v>
      </c>
      <c r="AJ64" s="120">
        <f t="shared" si="14"/>
        <v>0</v>
      </c>
      <c r="AK64" s="92"/>
      <c r="AL64" s="134"/>
    </row>
    <row r="65" spans="2:38" s="113" customFormat="1" x14ac:dyDescent="0.2">
      <c r="B65" s="1073"/>
      <c r="C65" s="150"/>
      <c r="D65" s="50">
        <v>51</v>
      </c>
      <c r="E65" s="151" t="s">
        <v>685</v>
      </c>
      <c r="F65" s="923" t="s">
        <v>312</v>
      </c>
      <c r="G65" s="1088"/>
      <c r="H65" s="925">
        <v>0</v>
      </c>
      <c r="I65" s="119">
        <f t="shared" si="21"/>
        <v>0</v>
      </c>
      <c r="J65" s="119">
        <f t="shared" si="21"/>
        <v>0</v>
      </c>
      <c r="K65" s="119">
        <f t="shared" si="21"/>
        <v>0</v>
      </c>
      <c r="L65" s="119">
        <f t="shared" si="21"/>
        <v>0</v>
      </c>
      <c r="M65" s="71"/>
      <c r="N65" s="68">
        <f>H65*tab!F$15</f>
        <v>0</v>
      </c>
      <c r="O65" s="68">
        <f>I65*tab!G$15</f>
        <v>0</v>
      </c>
      <c r="P65" s="68">
        <f>J65*tab!H$15</f>
        <v>0</v>
      </c>
      <c r="Q65" s="68">
        <f>K65*tab!I$15</f>
        <v>0</v>
      </c>
      <c r="R65" s="68">
        <f>L65*tab!J$15</f>
        <v>0</v>
      </c>
      <c r="S65" s="71"/>
      <c r="T65" s="120">
        <v>0</v>
      </c>
      <c r="U65" s="120">
        <f t="shared" si="19"/>
        <v>0</v>
      </c>
      <c r="V65" s="120">
        <f t="shared" si="22"/>
        <v>0</v>
      </c>
      <c r="W65" s="120">
        <f t="shared" si="22"/>
        <v>0</v>
      </c>
      <c r="X65" s="120">
        <f t="shared" si="22"/>
        <v>0</v>
      </c>
      <c r="Y65" s="71"/>
      <c r="Z65" s="68">
        <f>+H65*tab!F$16</f>
        <v>0</v>
      </c>
      <c r="AA65" s="68">
        <f>+I65*tab!G$16</f>
        <v>0</v>
      </c>
      <c r="AB65" s="68">
        <f>+J65*tab!H$16</f>
        <v>0</v>
      </c>
      <c r="AC65" s="68">
        <f>+K65*tab!I$16</f>
        <v>0</v>
      </c>
      <c r="AD65" s="68">
        <f>+L65*tab!J$16</f>
        <v>0</v>
      </c>
      <c r="AE65" s="71"/>
      <c r="AF65" s="153">
        <v>0</v>
      </c>
      <c r="AG65" s="120">
        <f t="shared" si="20"/>
        <v>0</v>
      </c>
      <c r="AH65" s="120">
        <f t="shared" si="20"/>
        <v>0</v>
      </c>
      <c r="AI65" s="120">
        <f t="shared" si="14"/>
        <v>0</v>
      </c>
      <c r="AJ65" s="120">
        <f t="shared" si="14"/>
        <v>0</v>
      </c>
      <c r="AK65" s="92"/>
      <c r="AL65" s="134"/>
    </row>
    <row r="66" spans="2:38" s="113" customFormat="1" x14ac:dyDescent="0.2">
      <c r="B66" s="1073"/>
      <c r="C66" s="150"/>
      <c r="D66" s="50">
        <v>52</v>
      </c>
      <c r="E66" s="151" t="s">
        <v>686</v>
      </c>
      <c r="F66" s="923" t="s">
        <v>312</v>
      </c>
      <c r="G66" s="1088"/>
      <c r="H66" s="925">
        <v>0</v>
      </c>
      <c r="I66" s="119">
        <f t="shared" si="21"/>
        <v>0</v>
      </c>
      <c r="J66" s="119">
        <f t="shared" si="21"/>
        <v>0</v>
      </c>
      <c r="K66" s="119">
        <f t="shared" si="21"/>
        <v>0</v>
      </c>
      <c r="L66" s="119">
        <f t="shared" si="21"/>
        <v>0</v>
      </c>
      <c r="M66" s="71"/>
      <c r="N66" s="68">
        <f>H66*tab!F$15</f>
        <v>0</v>
      </c>
      <c r="O66" s="68">
        <f>I66*tab!G$15</f>
        <v>0</v>
      </c>
      <c r="P66" s="68">
        <f>J66*tab!H$15</f>
        <v>0</v>
      </c>
      <c r="Q66" s="68">
        <f>K66*tab!I$15</f>
        <v>0</v>
      </c>
      <c r="R66" s="68">
        <f>L66*tab!J$15</f>
        <v>0</v>
      </c>
      <c r="S66" s="71"/>
      <c r="T66" s="120">
        <v>0</v>
      </c>
      <c r="U66" s="120">
        <f t="shared" si="19"/>
        <v>0</v>
      </c>
      <c r="V66" s="120">
        <f t="shared" si="22"/>
        <v>0</v>
      </c>
      <c r="W66" s="120">
        <f t="shared" si="22"/>
        <v>0</v>
      </c>
      <c r="X66" s="120">
        <f t="shared" si="22"/>
        <v>0</v>
      </c>
      <c r="Y66" s="71"/>
      <c r="Z66" s="68">
        <f>+H66*tab!F$16</f>
        <v>0</v>
      </c>
      <c r="AA66" s="68">
        <f>+I66*tab!G$16</f>
        <v>0</v>
      </c>
      <c r="AB66" s="68">
        <f>+J66*tab!H$16</f>
        <v>0</v>
      </c>
      <c r="AC66" s="68">
        <f>+K66*tab!I$16</f>
        <v>0</v>
      </c>
      <c r="AD66" s="68">
        <f>+L66*tab!J$16</f>
        <v>0</v>
      </c>
      <c r="AE66" s="71"/>
      <c r="AF66" s="153">
        <v>0</v>
      </c>
      <c r="AG66" s="120">
        <f t="shared" si="20"/>
        <v>0</v>
      </c>
      <c r="AH66" s="120">
        <f t="shared" si="20"/>
        <v>0</v>
      </c>
      <c r="AI66" s="120">
        <f t="shared" si="14"/>
        <v>0</v>
      </c>
      <c r="AJ66" s="120">
        <f t="shared" si="14"/>
        <v>0</v>
      </c>
      <c r="AK66" s="92"/>
      <c r="AL66" s="134"/>
    </row>
    <row r="67" spans="2:38" s="113" customFormat="1" x14ac:dyDescent="0.2">
      <c r="B67" s="1073"/>
      <c r="C67" s="150"/>
      <c r="D67" s="50">
        <v>53</v>
      </c>
      <c r="E67" s="151" t="s">
        <v>687</v>
      </c>
      <c r="F67" s="923" t="s">
        <v>312</v>
      </c>
      <c r="G67" s="1088"/>
      <c r="H67" s="925">
        <v>0</v>
      </c>
      <c r="I67" s="119">
        <f t="shared" si="21"/>
        <v>0</v>
      </c>
      <c r="J67" s="119">
        <f t="shared" si="21"/>
        <v>0</v>
      </c>
      <c r="K67" s="119">
        <f t="shared" si="21"/>
        <v>0</v>
      </c>
      <c r="L67" s="119">
        <f t="shared" si="21"/>
        <v>0</v>
      </c>
      <c r="M67" s="71"/>
      <c r="N67" s="68">
        <f>H67*tab!F$15</f>
        <v>0</v>
      </c>
      <c r="O67" s="68">
        <f>I67*tab!G$15</f>
        <v>0</v>
      </c>
      <c r="P67" s="68">
        <f>J67*tab!H$15</f>
        <v>0</v>
      </c>
      <c r="Q67" s="68">
        <f>K67*tab!I$15</f>
        <v>0</v>
      </c>
      <c r="R67" s="68">
        <f>L67*tab!J$15</f>
        <v>0</v>
      </c>
      <c r="S67" s="71"/>
      <c r="T67" s="120">
        <v>0</v>
      </c>
      <c r="U67" s="120">
        <f t="shared" si="19"/>
        <v>0</v>
      </c>
      <c r="V67" s="120">
        <f t="shared" si="22"/>
        <v>0</v>
      </c>
      <c r="W67" s="120">
        <f t="shared" si="22"/>
        <v>0</v>
      </c>
      <c r="X67" s="120">
        <f t="shared" si="22"/>
        <v>0</v>
      </c>
      <c r="Y67" s="71"/>
      <c r="Z67" s="68">
        <f>+H67*tab!F$16</f>
        <v>0</v>
      </c>
      <c r="AA67" s="68">
        <f>+I67*tab!G$16</f>
        <v>0</v>
      </c>
      <c r="AB67" s="68">
        <f>+J67*tab!H$16</f>
        <v>0</v>
      </c>
      <c r="AC67" s="68">
        <f>+K67*tab!I$16</f>
        <v>0</v>
      </c>
      <c r="AD67" s="68">
        <f>+L67*tab!J$16</f>
        <v>0</v>
      </c>
      <c r="AE67" s="71"/>
      <c r="AF67" s="153">
        <v>0</v>
      </c>
      <c r="AG67" s="120">
        <f t="shared" si="20"/>
        <v>0</v>
      </c>
      <c r="AH67" s="120">
        <f t="shared" si="20"/>
        <v>0</v>
      </c>
      <c r="AI67" s="120">
        <f t="shared" si="14"/>
        <v>0</v>
      </c>
      <c r="AJ67" s="120">
        <f t="shared" si="14"/>
        <v>0</v>
      </c>
      <c r="AK67" s="92"/>
      <c r="AL67" s="134"/>
    </row>
    <row r="68" spans="2:38" s="113" customFormat="1" x14ac:dyDescent="0.2">
      <c r="B68" s="1073"/>
      <c r="C68" s="150"/>
      <c r="D68" s="50">
        <v>54</v>
      </c>
      <c r="E68" s="151" t="s">
        <v>688</v>
      </c>
      <c r="F68" s="923" t="s">
        <v>312</v>
      </c>
      <c r="G68" s="1088"/>
      <c r="H68" s="925">
        <v>0</v>
      </c>
      <c r="I68" s="119">
        <f t="shared" si="21"/>
        <v>0</v>
      </c>
      <c r="J68" s="119">
        <f t="shared" si="21"/>
        <v>0</v>
      </c>
      <c r="K68" s="119">
        <f t="shared" si="21"/>
        <v>0</v>
      </c>
      <c r="L68" s="119">
        <f t="shared" si="21"/>
        <v>0</v>
      </c>
      <c r="M68" s="71"/>
      <c r="N68" s="68">
        <f>H68*tab!F$15</f>
        <v>0</v>
      </c>
      <c r="O68" s="68">
        <f>I68*tab!G$15</f>
        <v>0</v>
      </c>
      <c r="P68" s="68">
        <f>J68*tab!H$15</f>
        <v>0</v>
      </c>
      <c r="Q68" s="68">
        <f>K68*tab!I$15</f>
        <v>0</v>
      </c>
      <c r="R68" s="68">
        <f>L68*tab!J$15</f>
        <v>0</v>
      </c>
      <c r="S68" s="71"/>
      <c r="T68" s="120">
        <v>0</v>
      </c>
      <c r="U68" s="120">
        <f t="shared" si="19"/>
        <v>0</v>
      </c>
      <c r="V68" s="120">
        <f t="shared" si="22"/>
        <v>0</v>
      </c>
      <c r="W68" s="120">
        <f t="shared" si="22"/>
        <v>0</v>
      </c>
      <c r="X68" s="120">
        <f t="shared" si="22"/>
        <v>0</v>
      </c>
      <c r="Y68" s="71"/>
      <c r="Z68" s="68">
        <f>+H68*tab!F$16</f>
        <v>0</v>
      </c>
      <c r="AA68" s="68">
        <f>+I68*tab!G$16</f>
        <v>0</v>
      </c>
      <c r="AB68" s="68">
        <f>+J68*tab!H$16</f>
        <v>0</v>
      </c>
      <c r="AC68" s="68">
        <f>+K68*tab!I$16</f>
        <v>0</v>
      </c>
      <c r="AD68" s="68">
        <f>+L68*tab!J$16</f>
        <v>0</v>
      </c>
      <c r="AE68" s="71"/>
      <c r="AF68" s="153">
        <v>0</v>
      </c>
      <c r="AG68" s="120">
        <f t="shared" ref="AG68:AH87" si="23">AF68</f>
        <v>0</v>
      </c>
      <c r="AH68" s="120">
        <f t="shared" si="23"/>
        <v>0</v>
      </c>
      <c r="AI68" s="120">
        <f t="shared" si="14"/>
        <v>0</v>
      </c>
      <c r="AJ68" s="120">
        <f t="shared" si="14"/>
        <v>0</v>
      </c>
      <c r="AK68" s="92"/>
      <c r="AL68" s="134"/>
    </row>
    <row r="69" spans="2:38" s="113" customFormat="1" x14ac:dyDescent="0.2">
      <c r="B69" s="1073"/>
      <c r="C69" s="150"/>
      <c r="D69" s="50">
        <v>55</v>
      </c>
      <c r="E69" s="151" t="s">
        <v>689</v>
      </c>
      <c r="F69" s="923" t="s">
        <v>312</v>
      </c>
      <c r="G69" s="1088"/>
      <c r="H69" s="925">
        <v>0</v>
      </c>
      <c r="I69" s="119">
        <f t="shared" si="21"/>
        <v>0</v>
      </c>
      <c r="J69" s="119">
        <f t="shared" si="21"/>
        <v>0</v>
      </c>
      <c r="K69" s="119">
        <f t="shared" si="21"/>
        <v>0</v>
      </c>
      <c r="L69" s="119">
        <f t="shared" si="21"/>
        <v>0</v>
      </c>
      <c r="M69" s="71"/>
      <c r="N69" s="68">
        <f>H69*tab!F$15</f>
        <v>0</v>
      </c>
      <c r="O69" s="68">
        <f>I69*tab!G$15</f>
        <v>0</v>
      </c>
      <c r="P69" s="68">
        <f>J69*tab!H$15</f>
        <v>0</v>
      </c>
      <c r="Q69" s="68">
        <f>K69*tab!I$15</f>
        <v>0</v>
      </c>
      <c r="R69" s="68">
        <f>L69*tab!J$15</f>
        <v>0</v>
      </c>
      <c r="S69" s="71"/>
      <c r="T69" s="120">
        <v>0</v>
      </c>
      <c r="U69" s="120">
        <f t="shared" si="19"/>
        <v>0</v>
      </c>
      <c r="V69" s="120">
        <f t="shared" si="22"/>
        <v>0</v>
      </c>
      <c r="W69" s="120">
        <f t="shared" si="22"/>
        <v>0</v>
      </c>
      <c r="X69" s="120">
        <f t="shared" si="22"/>
        <v>0</v>
      </c>
      <c r="Y69" s="71"/>
      <c r="Z69" s="68">
        <f>+H69*tab!F$16</f>
        <v>0</v>
      </c>
      <c r="AA69" s="68">
        <f>+I69*tab!G$16</f>
        <v>0</v>
      </c>
      <c r="AB69" s="68">
        <f>+J69*tab!H$16</f>
        <v>0</v>
      </c>
      <c r="AC69" s="68">
        <f>+K69*tab!I$16</f>
        <v>0</v>
      </c>
      <c r="AD69" s="68">
        <f>+L69*tab!J$16</f>
        <v>0</v>
      </c>
      <c r="AE69" s="71"/>
      <c r="AF69" s="153">
        <v>0</v>
      </c>
      <c r="AG69" s="120">
        <f t="shared" si="23"/>
        <v>0</v>
      </c>
      <c r="AH69" s="120">
        <f t="shared" si="23"/>
        <v>0</v>
      </c>
      <c r="AI69" s="120">
        <f t="shared" si="14"/>
        <v>0</v>
      </c>
      <c r="AJ69" s="120">
        <f t="shared" si="14"/>
        <v>0</v>
      </c>
      <c r="AK69" s="92"/>
      <c r="AL69" s="134"/>
    </row>
    <row r="70" spans="2:38" s="113" customFormat="1" x14ac:dyDescent="0.2">
      <c r="B70" s="1073"/>
      <c r="C70" s="150"/>
      <c r="D70" s="50">
        <v>56</v>
      </c>
      <c r="E70" s="151" t="s">
        <v>690</v>
      </c>
      <c r="F70" s="923" t="s">
        <v>312</v>
      </c>
      <c r="G70" s="1088"/>
      <c r="H70" s="925">
        <v>0</v>
      </c>
      <c r="I70" s="119">
        <f t="shared" si="21"/>
        <v>0</v>
      </c>
      <c r="J70" s="119">
        <f t="shared" si="21"/>
        <v>0</v>
      </c>
      <c r="K70" s="119">
        <f t="shared" si="21"/>
        <v>0</v>
      </c>
      <c r="L70" s="119">
        <f t="shared" si="21"/>
        <v>0</v>
      </c>
      <c r="M70" s="71"/>
      <c r="N70" s="68">
        <f>H70*tab!F$15</f>
        <v>0</v>
      </c>
      <c r="O70" s="68">
        <f>I70*tab!G$15</f>
        <v>0</v>
      </c>
      <c r="P70" s="68">
        <f>J70*tab!H$15</f>
        <v>0</v>
      </c>
      <c r="Q70" s="68">
        <f>K70*tab!I$15</f>
        <v>0</v>
      </c>
      <c r="R70" s="68">
        <f>L70*tab!J$15</f>
        <v>0</v>
      </c>
      <c r="S70" s="71"/>
      <c r="T70" s="120">
        <v>0</v>
      </c>
      <c r="U70" s="120">
        <f t="shared" si="19"/>
        <v>0</v>
      </c>
      <c r="V70" s="120">
        <f t="shared" si="22"/>
        <v>0</v>
      </c>
      <c r="W70" s="120">
        <f t="shared" si="22"/>
        <v>0</v>
      </c>
      <c r="X70" s="120">
        <f t="shared" si="22"/>
        <v>0</v>
      </c>
      <c r="Y70" s="71"/>
      <c r="Z70" s="68">
        <f>+H70*tab!F$16</f>
        <v>0</v>
      </c>
      <c r="AA70" s="68">
        <f>+I70*tab!G$16</f>
        <v>0</v>
      </c>
      <c r="AB70" s="68">
        <f>+J70*tab!H$16</f>
        <v>0</v>
      </c>
      <c r="AC70" s="68">
        <f>+K70*tab!I$16</f>
        <v>0</v>
      </c>
      <c r="AD70" s="68">
        <f>+L70*tab!J$16</f>
        <v>0</v>
      </c>
      <c r="AE70" s="71"/>
      <c r="AF70" s="153">
        <v>0</v>
      </c>
      <c r="AG70" s="120">
        <f t="shared" si="23"/>
        <v>0</v>
      </c>
      <c r="AH70" s="120">
        <f t="shared" si="23"/>
        <v>0</v>
      </c>
      <c r="AI70" s="120">
        <f t="shared" si="14"/>
        <v>0</v>
      </c>
      <c r="AJ70" s="120">
        <f t="shared" si="14"/>
        <v>0</v>
      </c>
      <c r="AK70" s="92"/>
      <c r="AL70" s="134"/>
    </row>
    <row r="71" spans="2:38" s="113" customFormat="1" x14ac:dyDescent="0.2">
      <c r="B71" s="1073"/>
      <c r="C71" s="150"/>
      <c r="D71" s="50">
        <v>57</v>
      </c>
      <c r="E71" s="151" t="s">
        <v>691</v>
      </c>
      <c r="F71" s="923" t="s">
        <v>312</v>
      </c>
      <c r="G71" s="1088"/>
      <c r="H71" s="925">
        <v>0</v>
      </c>
      <c r="I71" s="119">
        <f t="shared" si="21"/>
        <v>0</v>
      </c>
      <c r="J71" s="119">
        <f t="shared" si="21"/>
        <v>0</v>
      </c>
      <c r="K71" s="119">
        <f t="shared" si="21"/>
        <v>0</v>
      </c>
      <c r="L71" s="119">
        <f t="shared" si="21"/>
        <v>0</v>
      </c>
      <c r="M71" s="71"/>
      <c r="N71" s="68">
        <f>H71*tab!F$15</f>
        <v>0</v>
      </c>
      <c r="O71" s="68">
        <f>I71*tab!G$15</f>
        <v>0</v>
      </c>
      <c r="P71" s="68">
        <f>J71*tab!H$15</f>
        <v>0</v>
      </c>
      <c r="Q71" s="68">
        <f>K71*tab!I$15</f>
        <v>0</v>
      </c>
      <c r="R71" s="68">
        <f>L71*tab!J$15</f>
        <v>0</v>
      </c>
      <c r="S71" s="71"/>
      <c r="T71" s="120">
        <v>0</v>
      </c>
      <c r="U71" s="120">
        <f t="shared" si="19"/>
        <v>0</v>
      </c>
      <c r="V71" s="120">
        <f t="shared" si="22"/>
        <v>0</v>
      </c>
      <c r="W71" s="120">
        <f t="shared" si="22"/>
        <v>0</v>
      </c>
      <c r="X71" s="120">
        <f t="shared" si="22"/>
        <v>0</v>
      </c>
      <c r="Y71" s="71"/>
      <c r="Z71" s="68">
        <f>+H71*tab!F$16</f>
        <v>0</v>
      </c>
      <c r="AA71" s="68">
        <f>+I71*tab!G$16</f>
        <v>0</v>
      </c>
      <c r="AB71" s="68">
        <f>+J71*tab!H$16</f>
        <v>0</v>
      </c>
      <c r="AC71" s="68">
        <f>+K71*tab!I$16</f>
        <v>0</v>
      </c>
      <c r="AD71" s="68">
        <f>+L71*tab!J$16</f>
        <v>0</v>
      </c>
      <c r="AE71" s="71"/>
      <c r="AF71" s="153">
        <v>0</v>
      </c>
      <c r="AG71" s="120">
        <f t="shared" si="23"/>
        <v>0</v>
      </c>
      <c r="AH71" s="120">
        <f t="shared" si="23"/>
        <v>0</v>
      </c>
      <c r="AI71" s="120">
        <f t="shared" si="14"/>
        <v>0</v>
      </c>
      <c r="AJ71" s="120">
        <f t="shared" si="14"/>
        <v>0</v>
      </c>
      <c r="AK71" s="92"/>
      <c r="AL71" s="134"/>
    </row>
    <row r="72" spans="2:38" s="113" customFormat="1" x14ac:dyDescent="0.2">
      <c r="B72" s="1073"/>
      <c r="C72" s="150"/>
      <c r="D72" s="50">
        <v>58</v>
      </c>
      <c r="E72" s="151" t="s">
        <v>692</v>
      </c>
      <c r="F72" s="923" t="s">
        <v>312</v>
      </c>
      <c r="G72" s="1088"/>
      <c r="H72" s="925">
        <v>0</v>
      </c>
      <c r="I72" s="119">
        <f t="shared" si="21"/>
        <v>0</v>
      </c>
      <c r="J72" s="119">
        <f t="shared" si="21"/>
        <v>0</v>
      </c>
      <c r="K72" s="119">
        <f t="shared" si="21"/>
        <v>0</v>
      </c>
      <c r="L72" s="119">
        <f t="shared" si="21"/>
        <v>0</v>
      </c>
      <c r="M72" s="71"/>
      <c r="N72" s="68">
        <f>H72*tab!F$15</f>
        <v>0</v>
      </c>
      <c r="O72" s="68">
        <f>I72*tab!G$15</f>
        <v>0</v>
      </c>
      <c r="P72" s="68">
        <f>J72*tab!H$15</f>
        <v>0</v>
      </c>
      <c r="Q72" s="68">
        <f>K72*tab!I$15</f>
        <v>0</v>
      </c>
      <c r="R72" s="68">
        <f>L72*tab!J$15</f>
        <v>0</v>
      </c>
      <c r="S72" s="71"/>
      <c r="T72" s="120">
        <v>0</v>
      </c>
      <c r="U72" s="120">
        <f t="shared" si="19"/>
        <v>0</v>
      </c>
      <c r="V72" s="120">
        <f t="shared" si="22"/>
        <v>0</v>
      </c>
      <c r="W72" s="120">
        <f t="shared" si="22"/>
        <v>0</v>
      </c>
      <c r="X72" s="120">
        <f t="shared" si="22"/>
        <v>0</v>
      </c>
      <c r="Y72" s="71"/>
      <c r="Z72" s="68">
        <f>+H72*tab!F$16</f>
        <v>0</v>
      </c>
      <c r="AA72" s="68">
        <f>+I72*tab!G$16</f>
        <v>0</v>
      </c>
      <c r="AB72" s="68">
        <f>+J72*tab!H$16</f>
        <v>0</v>
      </c>
      <c r="AC72" s="68">
        <f>+K72*tab!I$16</f>
        <v>0</v>
      </c>
      <c r="AD72" s="68">
        <f>+L72*tab!J$16</f>
        <v>0</v>
      </c>
      <c r="AE72" s="71"/>
      <c r="AF72" s="153">
        <v>0</v>
      </c>
      <c r="AG72" s="120">
        <f t="shared" si="23"/>
        <v>0</v>
      </c>
      <c r="AH72" s="120">
        <f t="shared" si="23"/>
        <v>0</v>
      </c>
      <c r="AI72" s="120">
        <f t="shared" si="14"/>
        <v>0</v>
      </c>
      <c r="AJ72" s="120">
        <f t="shared" si="14"/>
        <v>0</v>
      </c>
      <c r="AK72" s="92"/>
      <c r="AL72" s="134"/>
    </row>
    <row r="73" spans="2:38" s="113" customFormat="1" x14ac:dyDescent="0.2">
      <c r="B73" s="1073"/>
      <c r="C73" s="150"/>
      <c r="D73" s="50">
        <v>59</v>
      </c>
      <c r="E73" s="151" t="s">
        <v>693</v>
      </c>
      <c r="F73" s="923" t="s">
        <v>312</v>
      </c>
      <c r="G73" s="1088"/>
      <c r="H73" s="925">
        <v>0</v>
      </c>
      <c r="I73" s="119">
        <f t="shared" si="21"/>
        <v>0</v>
      </c>
      <c r="J73" s="119">
        <f t="shared" si="21"/>
        <v>0</v>
      </c>
      <c r="K73" s="119">
        <f t="shared" si="21"/>
        <v>0</v>
      </c>
      <c r="L73" s="119">
        <f t="shared" si="21"/>
        <v>0</v>
      </c>
      <c r="M73" s="71"/>
      <c r="N73" s="68">
        <f>H73*tab!F$15</f>
        <v>0</v>
      </c>
      <c r="O73" s="68">
        <f>I73*tab!G$15</f>
        <v>0</v>
      </c>
      <c r="P73" s="68">
        <f>J73*tab!H$15</f>
        <v>0</v>
      </c>
      <c r="Q73" s="68">
        <f>K73*tab!I$15</f>
        <v>0</v>
      </c>
      <c r="R73" s="68">
        <f>L73*tab!J$15</f>
        <v>0</v>
      </c>
      <c r="S73" s="71"/>
      <c r="T73" s="120">
        <v>0</v>
      </c>
      <c r="U73" s="120">
        <f t="shared" si="19"/>
        <v>0</v>
      </c>
      <c r="V73" s="120">
        <f t="shared" si="22"/>
        <v>0</v>
      </c>
      <c r="W73" s="120">
        <f t="shared" si="22"/>
        <v>0</v>
      </c>
      <c r="X73" s="120">
        <f t="shared" si="22"/>
        <v>0</v>
      </c>
      <c r="Y73" s="71"/>
      <c r="Z73" s="68">
        <f>+H73*tab!F$16</f>
        <v>0</v>
      </c>
      <c r="AA73" s="68">
        <f>+I73*tab!G$16</f>
        <v>0</v>
      </c>
      <c r="AB73" s="68">
        <f>+J73*tab!H$16</f>
        <v>0</v>
      </c>
      <c r="AC73" s="68">
        <f>+K73*tab!I$16</f>
        <v>0</v>
      </c>
      <c r="AD73" s="68">
        <f>+L73*tab!J$16</f>
        <v>0</v>
      </c>
      <c r="AE73" s="71"/>
      <c r="AF73" s="153">
        <v>0</v>
      </c>
      <c r="AG73" s="120">
        <f t="shared" si="23"/>
        <v>0</v>
      </c>
      <c r="AH73" s="120">
        <f t="shared" si="23"/>
        <v>0</v>
      </c>
      <c r="AI73" s="120">
        <f t="shared" si="14"/>
        <v>0</v>
      </c>
      <c r="AJ73" s="120">
        <f t="shared" si="14"/>
        <v>0</v>
      </c>
      <c r="AK73" s="92"/>
      <c r="AL73" s="134"/>
    </row>
    <row r="74" spans="2:38" s="113" customFormat="1" x14ac:dyDescent="0.2">
      <c r="B74" s="1073"/>
      <c r="C74" s="150"/>
      <c r="D74" s="50">
        <v>60</v>
      </c>
      <c r="E74" s="151" t="s">
        <v>694</v>
      </c>
      <c r="F74" s="923" t="s">
        <v>312</v>
      </c>
      <c r="G74" s="1088"/>
      <c r="H74" s="925">
        <v>0</v>
      </c>
      <c r="I74" s="119">
        <f t="shared" si="21"/>
        <v>0</v>
      </c>
      <c r="J74" s="119">
        <f t="shared" si="21"/>
        <v>0</v>
      </c>
      <c r="K74" s="119">
        <f t="shared" si="21"/>
        <v>0</v>
      </c>
      <c r="L74" s="119">
        <f t="shared" si="21"/>
        <v>0</v>
      </c>
      <c r="M74" s="71"/>
      <c r="N74" s="68">
        <f>H74*tab!F$15</f>
        <v>0</v>
      </c>
      <c r="O74" s="68">
        <f>I74*tab!G$15</f>
        <v>0</v>
      </c>
      <c r="P74" s="68">
        <f>J74*tab!H$15</f>
        <v>0</v>
      </c>
      <c r="Q74" s="68">
        <f>K74*tab!I$15</f>
        <v>0</v>
      </c>
      <c r="R74" s="68">
        <f>L74*tab!J$15</f>
        <v>0</v>
      </c>
      <c r="S74" s="71"/>
      <c r="T74" s="120">
        <v>0</v>
      </c>
      <c r="U74" s="120">
        <f t="shared" si="19"/>
        <v>0</v>
      </c>
      <c r="V74" s="120">
        <f t="shared" si="22"/>
        <v>0</v>
      </c>
      <c r="W74" s="120">
        <f t="shared" si="22"/>
        <v>0</v>
      </c>
      <c r="X74" s="120">
        <f t="shared" si="22"/>
        <v>0</v>
      </c>
      <c r="Y74" s="71"/>
      <c r="Z74" s="68">
        <f>+H74*tab!F$16</f>
        <v>0</v>
      </c>
      <c r="AA74" s="68">
        <f>+I74*tab!G$16</f>
        <v>0</v>
      </c>
      <c r="AB74" s="68">
        <f>+J74*tab!H$16</f>
        <v>0</v>
      </c>
      <c r="AC74" s="68">
        <f>+K74*tab!I$16</f>
        <v>0</v>
      </c>
      <c r="AD74" s="68">
        <f>+L74*tab!J$16</f>
        <v>0</v>
      </c>
      <c r="AE74" s="71"/>
      <c r="AF74" s="153">
        <v>0</v>
      </c>
      <c r="AG74" s="120">
        <f t="shared" si="23"/>
        <v>0</v>
      </c>
      <c r="AH74" s="120">
        <f t="shared" si="23"/>
        <v>0</v>
      </c>
      <c r="AI74" s="120">
        <f t="shared" si="14"/>
        <v>0</v>
      </c>
      <c r="AJ74" s="120">
        <f t="shared" si="14"/>
        <v>0</v>
      </c>
      <c r="AK74" s="92"/>
      <c r="AL74" s="134"/>
    </row>
    <row r="75" spans="2:38" s="113" customFormat="1" x14ac:dyDescent="0.2">
      <c r="B75" s="1073"/>
      <c r="C75" s="150"/>
      <c r="D75" s="50">
        <v>61</v>
      </c>
      <c r="E75" s="151" t="s">
        <v>695</v>
      </c>
      <c r="F75" s="923" t="s">
        <v>312</v>
      </c>
      <c r="G75" s="1088"/>
      <c r="H75" s="925">
        <v>0</v>
      </c>
      <c r="I75" s="119">
        <f t="shared" si="21"/>
        <v>0</v>
      </c>
      <c r="J75" s="119">
        <f t="shared" si="21"/>
        <v>0</v>
      </c>
      <c r="K75" s="119">
        <f t="shared" si="21"/>
        <v>0</v>
      </c>
      <c r="L75" s="119">
        <f t="shared" si="21"/>
        <v>0</v>
      </c>
      <c r="M75" s="71"/>
      <c r="N75" s="68">
        <f>H75*tab!F$15</f>
        <v>0</v>
      </c>
      <c r="O75" s="68">
        <f>I75*tab!G$15</f>
        <v>0</v>
      </c>
      <c r="P75" s="68">
        <f>J75*tab!H$15</f>
        <v>0</v>
      </c>
      <c r="Q75" s="68">
        <f>K75*tab!I$15</f>
        <v>0</v>
      </c>
      <c r="R75" s="68">
        <f>L75*tab!J$15</f>
        <v>0</v>
      </c>
      <c r="S75" s="71"/>
      <c r="T75" s="120">
        <v>0</v>
      </c>
      <c r="U75" s="120">
        <f t="shared" si="19"/>
        <v>0</v>
      </c>
      <c r="V75" s="120">
        <f t="shared" si="22"/>
        <v>0</v>
      </c>
      <c r="W75" s="120">
        <f t="shared" si="22"/>
        <v>0</v>
      </c>
      <c r="X75" s="120">
        <f t="shared" si="22"/>
        <v>0</v>
      </c>
      <c r="Y75" s="71"/>
      <c r="Z75" s="68">
        <f>+H75*tab!F$16</f>
        <v>0</v>
      </c>
      <c r="AA75" s="68">
        <f>+I75*tab!G$16</f>
        <v>0</v>
      </c>
      <c r="AB75" s="68">
        <f>+J75*tab!H$16</f>
        <v>0</v>
      </c>
      <c r="AC75" s="68">
        <f>+K75*tab!I$16</f>
        <v>0</v>
      </c>
      <c r="AD75" s="68">
        <f>+L75*tab!J$16</f>
        <v>0</v>
      </c>
      <c r="AE75" s="71"/>
      <c r="AF75" s="153">
        <v>0</v>
      </c>
      <c r="AG75" s="120">
        <f t="shared" si="23"/>
        <v>0</v>
      </c>
      <c r="AH75" s="120">
        <f t="shared" si="23"/>
        <v>0</v>
      </c>
      <c r="AI75" s="120">
        <f t="shared" si="14"/>
        <v>0</v>
      </c>
      <c r="AJ75" s="120">
        <f t="shared" si="14"/>
        <v>0</v>
      </c>
      <c r="AK75" s="92"/>
      <c r="AL75" s="134"/>
    </row>
    <row r="76" spans="2:38" s="113" customFormat="1" x14ac:dyDescent="0.2">
      <c r="B76" s="1073"/>
      <c r="C76" s="150"/>
      <c r="D76" s="50">
        <v>62</v>
      </c>
      <c r="E76" s="151" t="s">
        <v>696</v>
      </c>
      <c r="F76" s="923" t="s">
        <v>312</v>
      </c>
      <c r="G76" s="1088"/>
      <c r="H76" s="925">
        <v>0</v>
      </c>
      <c r="I76" s="119">
        <f t="shared" si="21"/>
        <v>0</v>
      </c>
      <c r="J76" s="119">
        <f t="shared" si="21"/>
        <v>0</v>
      </c>
      <c r="K76" s="119">
        <f t="shared" si="21"/>
        <v>0</v>
      </c>
      <c r="L76" s="119">
        <f t="shared" si="21"/>
        <v>0</v>
      </c>
      <c r="M76" s="71"/>
      <c r="N76" s="68">
        <f>H76*tab!F$15</f>
        <v>0</v>
      </c>
      <c r="O76" s="68">
        <f>I76*tab!G$15</f>
        <v>0</v>
      </c>
      <c r="P76" s="68">
        <f>J76*tab!H$15</f>
        <v>0</v>
      </c>
      <c r="Q76" s="68">
        <f>K76*tab!I$15</f>
        <v>0</v>
      </c>
      <c r="R76" s="68">
        <f>L76*tab!J$15</f>
        <v>0</v>
      </c>
      <c r="S76" s="71"/>
      <c r="T76" s="120">
        <v>0</v>
      </c>
      <c r="U76" s="120">
        <f t="shared" si="19"/>
        <v>0</v>
      </c>
      <c r="V76" s="120">
        <f t="shared" si="22"/>
        <v>0</v>
      </c>
      <c r="W76" s="120">
        <f t="shared" si="22"/>
        <v>0</v>
      </c>
      <c r="X76" s="120">
        <f t="shared" si="22"/>
        <v>0</v>
      </c>
      <c r="Y76" s="71"/>
      <c r="Z76" s="68">
        <f>+H76*tab!F$16</f>
        <v>0</v>
      </c>
      <c r="AA76" s="68">
        <f>+I76*tab!G$16</f>
        <v>0</v>
      </c>
      <c r="AB76" s="68">
        <f>+J76*tab!H$16</f>
        <v>0</v>
      </c>
      <c r="AC76" s="68">
        <f>+K76*tab!I$16</f>
        <v>0</v>
      </c>
      <c r="AD76" s="68">
        <f>+L76*tab!J$16</f>
        <v>0</v>
      </c>
      <c r="AE76" s="71"/>
      <c r="AF76" s="153">
        <v>0</v>
      </c>
      <c r="AG76" s="120">
        <f t="shared" si="23"/>
        <v>0</v>
      </c>
      <c r="AH76" s="120">
        <f t="shared" si="23"/>
        <v>0</v>
      </c>
      <c r="AI76" s="120">
        <f t="shared" si="14"/>
        <v>0</v>
      </c>
      <c r="AJ76" s="120">
        <f t="shared" si="14"/>
        <v>0</v>
      </c>
      <c r="AK76" s="92"/>
      <c r="AL76" s="134"/>
    </row>
    <row r="77" spans="2:38" s="113" customFormat="1" x14ac:dyDescent="0.2">
      <c r="B77" s="1073"/>
      <c r="C77" s="150"/>
      <c r="D77" s="50">
        <v>63</v>
      </c>
      <c r="E77" s="151" t="s">
        <v>697</v>
      </c>
      <c r="F77" s="923" t="s">
        <v>312</v>
      </c>
      <c r="G77" s="1088"/>
      <c r="H77" s="925">
        <v>0</v>
      </c>
      <c r="I77" s="119">
        <f t="shared" ref="I77:L96" si="24">H77</f>
        <v>0</v>
      </c>
      <c r="J77" s="119">
        <f t="shared" si="24"/>
        <v>0</v>
      </c>
      <c r="K77" s="119">
        <f t="shared" si="24"/>
        <v>0</v>
      </c>
      <c r="L77" s="119">
        <f t="shared" si="24"/>
        <v>0</v>
      </c>
      <c r="M77" s="71"/>
      <c r="N77" s="68">
        <f>H77*tab!F$15</f>
        <v>0</v>
      </c>
      <c r="O77" s="68">
        <f>I77*tab!G$15</f>
        <v>0</v>
      </c>
      <c r="P77" s="68">
        <f>J77*tab!H$15</f>
        <v>0</v>
      </c>
      <c r="Q77" s="68">
        <f>K77*tab!I$15</f>
        <v>0</v>
      </c>
      <c r="R77" s="68">
        <f>L77*tab!J$15</f>
        <v>0</v>
      </c>
      <c r="S77" s="71"/>
      <c r="T77" s="120">
        <v>0</v>
      </c>
      <c r="U77" s="120">
        <f t="shared" si="19"/>
        <v>0</v>
      </c>
      <c r="V77" s="120">
        <f t="shared" si="22"/>
        <v>0</v>
      </c>
      <c r="W77" s="120">
        <f t="shared" si="22"/>
        <v>0</v>
      </c>
      <c r="X77" s="120">
        <f t="shared" si="22"/>
        <v>0</v>
      </c>
      <c r="Y77" s="71"/>
      <c r="Z77" s="68">
        <f>+H77*tab!F$16</f>
        <v>0</v>
      </c>
      <c r="AA77" s="68">
        <f>+I77*tab!G$16</f>
        <v>0</v>
      </c>
      <c r="AB77" s="68">
        <f>+J77*tab!H$16</f>
        <v>0</v>
      </c>
      <c r="AC77" s="68">
        <f>+K77*tab!I$16</f>
        <v>0</v>
      </c>
      <c r="AD77" s="68">
        <f>+L77*tab!J$16</f>
        <v>0</v>
      </c>
      <c r="AE77" s="71"/>
      <c r="AF77" s="153">
        <v>0</v>
      </c>
      <c r="AG77" s="120">
        <f t="shared" si="23"/>
        <v>0</v>
      </c>
      <c r="AH77" s="120">
        <f t="shared" si="23"/>
        <v>0</v>
      </c>
      <c r="AI77" s="120">
        <f t="shared" si="14"/>
        <v>0</v>
      </c>
      <c r="AJ77" s="120">
        <f t="shared" si="14"/>
        <v>0</v>
      </c>
      <c r="AK77" s="92"/>
      <c r="AL77" s="134"/>
    </row>
    <row r="78" spans="2:38" s="113" customFormat="1" x14ac:dyDescent="0.2">
      <c r="B78" s="1073"/>
      <c r="C78" s="150"/>
      <c r="D78" s="50">
        <v>64</v>
      </c>
      <c r="E78" s="151" t="s">
        <v>698</v>
      </c>
      <c r="F78" s="923" t="s">
        <v>312</v>
      </c>
      <c r="G78" s="1088"/>
      <c r="H78" s="925">
        <v>0</v>
      </c>
      <c r="I78" s="119">
        <f t="shared" si="24"/>
        <v>0</v>
      </c>
      <c r="J78" s="119">
        <f t="shared" si="24"/>
        <v>0</v>
      </c>
      <c r="K78" s="119">
        <f t="shared" si="24"/>
        <v>0</v>
      </c>
      <c r="L78" s="119">
        <f t="shared" si="24"/>
        <v>0</v>
      </c>
      <c r="M78" s="71"/>
      <c r="N78" s="68">
        <f>H78*tab!F$15</f>
        <v>0</v>
      </c>
      <c r="O78" s="68">
        <f>I78*tab!G$15</f>
        <v>0</v>
      </c>
      <c r="P78" s="68">
        <f>J78*tab!H$15</f>
        <v>0</v>
      </c>
      <c r="Q78" s="68">
        <f>K78*tab!I$15</f>
        <v>0</v>
      </c>
      <c r="R78" s="68">
        <f>L78*tab!J$15</f>
        <v>0</v>
      </c>
      <c r="S78" s="71"/>
      <c r="T78" s="120">
        <v>0</v>
      </c>
      <c r="U78" s="120">
        <f t="shared" si="19"/>
        <v>0</v>
      </c>
      <c r="V78" s="120">
        <f t="shared" si="22"/>
        <v>0</v>
      </c>
      <c r="W78" s="120">
        <f t="shared" si="22"/>
        <v>0</v>
      </c>
      <c r="X78" s="120">
        <f t="shared" si="22"/>
        <v>0</v>
      </c>
      <c r="Y78" s="71"/>
      <c r="Z78" s="68">
        <f>+H78*tab!F$16</f>
        <v>0</v>
      </c>
      <c r="AA78" s="68">
        <f>+I78*tab!G$16</f>
        <v>0</v>
      </c>
      <c r="AB78" s="68">
        <f>+J78*tab!H$16</f>
        <v>0</v>
      </c>
      <c r="AC78" s="68">
        <f>+K78*tab!I$16</f>
        <v>0</v>
      </c>
      <c r="AD78" s="68">
        <f>+L78*tab!J$16</f>
        <v>0</v>
      </c>
      <c r="AE78" s="71"/>
      <c r="AF78" s="153">
        <v>0</v>
      </c>
      <c r="AG78" s="120">
        <f t="shared" si="23"/>
        <v>0</v>
      </c>
      <c r="AH78" s="120">
        <f t="shared" si="23"/>
        <v>0</v>
      </c>
      <c r="AI78" s="120">
        <f t="shared" si="14"/>
        <v>0</v>
      </c>
      <c r="AJ78" s="120">
        <f t="shared" si="14"/>
        <v>0</v>
      </c>
      <c r="AK78" s="92"/>
      <c r="AL78" s="134"/>
    </row>
    <row r="79" spans="2:38" s="113" customFormat="1" x14ac:dyDescent="0.2">
      <c r="B79" s="1073"/>
      <c r="C79" s="150"/>
      <c r="D79" s="50">
        <v>65</v>
      </c>
      <c r="E79" s="151" t="s">
        <v>699</v>
      </c>
      <c r="F79" s="923" t="s">
        <v>312</v>
      </c>
      <c r="G79" s="1088"/>
      <c r="H79" s="925">
        <v>0</v>
      </c>
      <c r="I79" s="119">
        <f t="shared" si="24"/>
        <v>0</v>
      </c>
      <c r="J79" s="119">
        <f t="shared" si="24"/>
        <v>0</v>
      </c>
      <c r="K79" s="119">
        <f t="shared" si="24"/>
        <v>0</v>
      </c>
      <c r="L79" s="119">
        <f t="shared" si="24"/>
        <v>0</v>
      </c>
      <c r="M79" s="71"/>
      <c r="N79" s="68">
        <f>H79*tab!F$15</f>
        <v>0</v>
      </c>
      <c r="O79" s="68">
        <f>I79*tab!G$15</f>
        <v>0</v>
      </c>
      <c r="P79" s="68">
        <f>J79*tab!H$15</f>
        <v>0</v>
      </c>
      <c r="Q79" s="68">
        <f>K79*tab!I$15</f>
        <v>0</v>
      </c>
      <c r="R79" s="68">
        <f>L79*tab!J$15</f>
        <v>0</v>
      </c>
      <c r="S79" s="71"/>
      <c r="T79" s="120">
        <v>0</v>
      </c>
      <c r="U79" s="120">
        <f t="shared" si="19"/>
        <v>0</v>
      </c>
      <c r="V79" s="120">
        <f t="shared" si="22"/>
        <v>0</v>
      </c>
      <c r="W79" s="120">
        <f t="shared" si="22"/>
        <v>0</v>
      </c>
      <c r="X79" s="120">
        <f t="shared" si="22"/>
        <v>0</v>
      </c>
      <c r="Y79" s="71"/>
      <c r="Z79" s="68">
        <f>+H79*tab!F$16</f>
        <v>0</v>
      </c>
      <c r="AA79" s="68">
        <f>+I79*tab!G$16</f>
        <v>0</v>
      </c>
      <c r="AB79" s="68">
        <f>+J79*tab!H$16</f>
        <v>0</v>
      </c>
      <c r="AC79" s="68">
        <f>+K79*tab!I$16</f>
        <v>0</v>
      </c>
      <c r="AD79" s="68">
        <f>+L79*tab!J$16</f>
        <v>0</v>
      </c>
      <c r="AE79" s="71"/>
      <c r="AF79" s="153">
        <v>0</v>
      </c>
      <c r="AG79" s="120">
        <f t="shared" si="23"/>
        <v>0</v>
      </c>
      <c r="AH79" s="120">
        <f t="shared" si="23"/>
        <v>0</v>
      </c>
      <c r="AI79" s="120">
        <f t="shared" si="14"/>
        <v>0</v>
      </c>
      <c r="AJ79" s="120">
        <f t="shared" si="14"/>
        <v>0</v>
      </c>
      <c r="AK79" s="92"/>
      <c r="AL79" s="134"/>
    </row>
    <row r="80" spans="2:38" s="113" customFormat="1" x14ac:dyDescent="0.2">
      <c r="B80" s="1073"/>
      <c r="C80" s="150"/>
      <c r="D80" s="50">
        <v>66</v>
      </c>
      <c r="E80" s="151" t="s">
        <v>700</v>
      </c>
      <c r="F80" s="923" t="s">
        <v>312</v>
      </c>
      <c r="G80" s="1088"/>
      <c r="H80" s="925">
        <v>0</v>
      </c>
      <c r="I80" s="119">
        <f t="shared" si="24"/>
        <v>0</v>
      </c>
      <c r="J80" s="119">
        <f t="shared" si="24"/>
        <v>0</v>
      </c>
      <c r="K80" s="119">
        <f t="shared" si="24"/>
        <v>0</v>
      </c>
      <c r="L80" s="119">
        <f t="shared" si="24"/>
        <v>0</v>
      </c>
      <c r="M80" s="71"/>
      <c r="N80" s="68">
        <f>H80*tab!F$15</f>
        <v>0</v>
      </c>
      <c r="O80" s="68">
        <f>I80*tab!G$15</f>
        <v>0</v>
      </c>
      <c r="P80" s="68">
        <f>J80*tab!H$15</f>
        <v>0</v>
      </c>
      <c r="Q80" s="68">
        <f>K80*tab!I$15</f>
        <v>0</v>
      </c>
      <c r="R80" s="68">
        <f>L80*tab!J$15</f>
        <v>0</v>
      </c>
      <c r="S80" s="71"/>
      <c r="T80" s="120">
        <v>0</v>
      </c>
      <c r="U80" s="120">
        <f t="shared" ref="U80:U111" si="25">T80</f>
        <v>0</v>
      </c>
      <c r="V80" s="120">
        <f t="shared" si="22"/>
        <v>0</v>
      </c>
      <c r="W80" s="120">
        <f t="shared" si="22"/>
        <v>0</v>
      </c>
      <c r="X80" s="120">
        <f t="shared" si="22"/>
        <v>0</v>
      </c>
      <c r="Y80" s="71"/>
      <c r="Z80" s="68">
        <f>+H80*tab!F$16</f>
        <v>0</v>
      </c>
      <c r="AA80" s="68">
        <f>+I80*tab!G$16</f>
        <v>0</v>
      </c>
      <c r="AB80" s="68">
        <f>+J80*tab!H$16</f>
        <v>0</v>
      </c>
      <c r="AC80" s="68">
        <f>+K80*tab!I$16</f>
        <v>0</v>
      </c>
      <c r="AD80" s="68">
        <f>+L80*tab!J$16</f>
        <v>0</v>
      </c>
      <c r="AE80" s="71"/>
      <c r="AF80" s="153">
        <v>0</v>
      </c>
      <c r="AG80" s="120">
        <f t="shared" si="23"/>
        <v>0</v>
      </c>
      <c r="AH80" s="120">
        <f t="shared" si="23"/>
        <v>0</v>
      </c>
      <c r="AI80" s="120">
        <f t="shared" si="14"/>
        <v>0</v>
      </c>
      <c r="AJ80" s="120">
        <f t="shared" si="14"/>
        <v>0</v>
      </c>
      <c r="AK80" s="92"/>
      <c r="AL80" s="134"/>
    </row>
    <row r="81" spans="2:38" s="113" customFormat="1" x14ac:dyDescent="0.2">
      <c r="B81" s="1073"/>
      <c r="C81" s="150"/>
      <c r="D81" s="50">
        <v>67</v>
      </c>
      <c r="E81" s="151" t="s">
        <v>701</v>
      </c>
      <c r="F81" s="923" t="s">
        <v>312</v>
      </c>
      <c r="G81" s="1088"/>
      <c r="H81" s="925">
        <v>0</v>
      </c>
      <c r="I81" s="119">
        <f t="shared" si="24"/>
        <v>0</v>
      </c>
      <c r="J81" s="119">
        <f t="shared" si="24"/>
        <v>0</v>
      </c>
      <c r="K81" s="119">
        <f t="shared" si="24"/>
        <v>0</v>
      </c>
      <c r="L81" s="119">
        <f t="shared" si="24"/>
        <v>0</v>
      </c>
      <c r="M81" s="71"/>
      <c r="N81" s="68">
        <f>H81*tab!F$15</f>
        <v>0</v>
      </c>
      <c r="O81" s="68">
        <f>I81*tab!G$15</f>
        <v>0</v>
      </c>
      <c r="P81" s="68">
        <f>J81*tab!H$15</f>
        <v>0</v>
      </c>
      <c r="Q81" s="68">
        <f>K81*tab!I$15</f>
        <v>0</v>
      </c>
      <c r="R81" s="68">
        <f>L81*tab!J$15</f>
        <v>0</v>
      </c>
      <c r="S81" s="71"/>
      <c r="T81" s="120">
        <v>0</v>
      </c>
      <c r="U81" s="120">
        <f t="shared" si="25"/>
        <v>0</v>
      </c>
      <c r="V81" s="120">
        <f t="shared" si="22"/>
        <v>0</v>
      </c>
      <c r="W81" s="120">
        <f t="shared" si="22"/>
        <v>0</v>
      </c>
      <c r="X81" s="120">
        <f t="shared" si="22"/>
        <v>0</v>
      </c>
      <c r="Y81" s="71"/>
      <c r="Z81" s="68">
        <f>+H81*tab!F$16</f>
        <v>0</v>
      </c>
      <c r="AA81" s="68">
        <f>+I81*tab!G$16</f>
        <v>0</v>
      </c>
      <c r="AB81" s="68">
        <f>+J81*tab!H$16</f>
        <v>0</v>
      </c>
      <c r="AC81" s="68">
        <f>+K81*tab!I$16</f>
        <v>0</v>
      </c>
      <c r="AD81" s="68">
        <f>+L81*tab!J$16</f>
        <v>0</v>
      </c>
      <c r="AE81" s="71"/>
      <c r="AF81" s="153">
        <v>0</v>
      </c>
      <c r="AG81" s="120">
        <f t="shared" si="23"/>
        <v>0</v>
      </c>
      <c r="AH81" s="120">
        <f t="shared" si="23"/>
        <v>0</v>
      </c>
      <c r="AI81" s="120">
        <f t="shared" si="14"/>
        <v>0</v>
      </c>
      <c r="AJ81" s="120">
        <f t="shared" si="14"/>
        <v>0</v>
      </c>
      <c r="AK81" s="92"/>
      <c r="AL81" s="134"/>
    </row>
    <row r="82" spans="2:38" s="113" customFormat="1" x14ac:dyDescent="0.2">
      <c r="B82" s="1073"/>
      <c r="C82" s="150"/>
      <c r="D82" s="50">
        <v>68</v>
      </c>
      <c r="E82" s="151" t="s">
        <v>321</v>
      </c>
      <c r="F82" s="923" t="s">
        <v>312</v>
      </c>
      <c r="G82" s="1088"/>
      <c r="H82" s="925">
        <v>0</v>
      </c>
      <c r="I82" s="119">
        <f t="shared" si="24"/>
        <v>0</v>
      </c>
      <c r="J82" s="119">
        <f t="shared" si="24"/>
        <v>0</v>
      </c>
      <c r="K82" s="119">
        <f t="shared" si="24"/>
        <v>0</v>
      </c>
      <c r="L82" s="119">
        <f t="shared" si="24"/>
        <v>0</v>
      </c>
      <c r="M82" s="71"/>
      <c r="N82" s="68">
        <f>H82*tab!F$15</f>
        <v>0</v>
      </c>
      <c r="O82" s="68">
        <f>I82*tab!G$15</f>
        <v>0</v>
      </c>
      <c r="P82" s="68">
        <f>J82*tab!H$15</f>
        <v>0</v>
      </c>
      <c r="Q82" s="68">
        <f>K82*tab!I$15</f>
        <v>0</v>
      </c>
      <c r="R82" s="68">
        <f>L82*tab!J$15</f>
        <v>0</v>
      </c>
      <c r="S82" s="71"/>
      <c r="T82" s="120">
        <v>0</v>
      </c>
      <c r="U82" s="120">
        <f t="shared" si="25"/>
        <v>0</v>
      </c>
      <c r="V82" s="120">
        <f t="shared" si="22"/>
        <v>0</v>
      </c>
      <c r="W82" s="120">
        <f t="shared" si="22"/>
        <v>0</v>
      </c>
      <c r="X82" s="120">
        <f t="shared" si="22"/>
        <v>0</v>
      </c>
      <c r="Y82" s="71"/>
      <c r="Z82" s="68">
        <f>+H82*tab!F$16</f>
        <v>0</v>
      </c>
      <c r="AA82" s="68">
        <f>+I82*tab!G$16</f>
        <v>0</v>
      </c>
      <c r="AB82" s="68">
        <f>+J82*tab!H$16</f>
        <v>0</v>
      </c>
      <c r="AC82" s="68">
        <f>+K82*tab!I$16</f>
        <v>0</v>
      </c>
      <c r="AD82" s="68">
        <f>+L82*tab!J$16</f>
        <v>0</v>
      </c>
      <c r="AE82" s="71"/>
      <c r="AF82" s="153">
        <v>0</v>
      </c>
      <c r="AG82" s="120">
        <f t="shared" si="23"/>
        <v>0</v>
      </c>
      <c r="AH82" s="120">
        <f t="shared" si="23"/>
        <v>0</v>
      </c>
      <c r="AI82" s="120">
        <f t="shared" si="14"/>
        <v>0</v>
      </c>
      <c r="AJ82" s="120">
        <f t="shared" si="14"/>
        <v>0</v>
      </c>
      <c r="AK82" s="92"/>
      <c r="AL82" s="134"/>
    </row>
    <row r="83" spans="2:38" s="113" customFormat="1" x14ac:dyDescent="0.2">
      <c r="B83" s="1073"/>
      <c r="C83" s="150"/>
      <c r="D83" s="50">
        <v>69</v>
      </c>
      <c r="E83" s="151" t="s">
        <v>322</v>
      </c>
      <c r="F83" s="923" t="s">
        <v>312</v>
      </c>
      <c r="G83" s="1088"/>
      <c r="H83" s="925">
        <v>0</v>
      </c>
      <c r="I83" s="119">
        <f t="shared" si="24"/>
        <v>0</v>
      </c>
      <c r="J83" s="119">
        <f t="shared" si="24"/>
        <v>0</v>
      </c>
      <c r="K83" s="119">
        <f t="shared" si="24"/>
        <v>0</v>
      </c>
      <c r="L83" s="119">
        <f t="shared" si="24"/>
        <v>0</v>
      </c>
      <c r="M83" s="71"/>
      <c r="N83" s="68">
        <f>H83*tab!F$15</f>
        <v>0</v>
      </c>
      <c r="O83" s="68">
        <f>I83*tab!G$15</f>
        <v>0</v>
      </c>
      <c r="P83" s="68">
        <f>J83*tab!H$15</f>
        <v>0</v>
      </c>
      <c r="Q83" s="68">
        <f>K83*tab!I$15</f>
        <v>0</v>
      </c>
      <c r="R83" s="68">
        <f>L83*tab!J$15</f>
        <v>0</v>
      </c>
      <c r="S83" s="71"/>
      <c r="T83" s="120">
        <v>0</v>
      </c>
      <c r="U83" s="120">
        <f t="shared" si="25"/>
        <v>0</v>
      </c>
      <c r="V83" s="120">
        <f t="shared" ref="V83:X102" si="26">U83</f>
        <v>0</v>
      </c>
      <c r="W83" s="120">
        <f t="shared" si="26"/>
        <v>0</v>
      </c>
      <c r="X83" s="120">
        <f t="shared" si="26"/>
        <v>0</v>
      </c>
      <c r="Y83" s="71"/>
      <c r="Z83" s="68">
        <f>+H83*tab!F$16</f>
        <v>0</v>
      </c>
      <c r="AA83" s="68">
        <f>+I83*tab!G$16</f>
        <v>0</v>
      </c>
      <c r="AB83" s="68">
        <f>+J83*tab!H$16</f>
        <v>0</v>
      </c>
      <c r="AC83" s="68">
        <f>+K83*tab!I$16</f>
        <v>0</v>
      </c>
      <c r="AD83" s="68">
        <f>+L83*tab!J$16</f>
        <v>0</v>
      </c>
      <c r="AE83" s="71"/>
      <c r="AF83" s="153">
        <v>0</v>
      </c>
      <c r="AG83" s="120">
        <f t="shared" si="23"/>
        <v>0</v>
      </c>
      <c r="AH83" s="120">
        <f t="shared" si="23"/>
        <v>0</v>
      </c>
      <c r="AI83" s="120">
        <f t="shared" si="14"/>
        <v>0</v>
      </c>
      <c r="AJ83" s="120">
        <f t="shared" si="14"/>
        <v>0</v>
      </c>
      <c r="AK83" s="92"/>
      <c r="AL83" s="134"/>
    </row>
    <row r="84" spans="2:38" s="113" customFormat="1" x14ac:dyDescent="0.2">
      <c r="B84" s="1073"/>
      <c r="C84" s="150"/>
      <c r="D84" s="50">
        <v>70</v>
      </c>
      <c r="E84" s="151" t="s">
        <v>323</v>
      </c>
      <c r="F84" s="923" t="s">
        <v>312</v>
      </c>
      <c r="G84" s="1088"/>
      <c r="H84" s="925">
        <v>0</v>
      </c>
      <c r="I84" s="119">
        <f t="shared" si="24"/>
        <v>0</v>
      </c>
      <c r="J84" s="119">
        <f t="shared" si="24"/>
        <v>0</v>
      </c>
      <c r="K84" s="119">
        <f t="shared" si="24"/>
        <v>0</v>
      </c>
      <c r="L84" s="119">
        <f t="shared" si="24"/>
        <v>0</v>
      </c>
      <c r="M84" s="71"/>
      <c r="N84" s="68">
        <f>H84*tab!F$15</f>
        <v>0</v>
      </c>
      <c r="O84" s="68">
        <f>I84*tab!G$15</f>
        <v>0</v>
      </c>
      <c r="P84" s="68">
        <f>J84*tab!H$15</f>
        <v>0</v>
      </c>
      <c r="Q84" s="68">
        <f>K84*tab!I$15</f>
        <v>0</v>
      </c>
      <c r="R84" s="68">
        <f>L84*tab!J$15</f>
        <v>0</v>
      </c>
      <c r="S84" s="71"/>
      <c r="T84" s="120">
        <v>0</v>
      </c>
      <c r="U84" s="120">
        <f t="shared" si="25"/>
        <v>0</v>
      </c>
      <c r="V84" s="120">
        <f t="shared" si="26"/>
        <v>0</v>
      </c>
      <c r="W84" s="120">
        <f t="shared" si="26"/>
        <v>0</v>
      </c>
      <c r="X84" s="120">
        <f t="shared" si="26"/>
        <v>0</v>
      </c>
      <c r="Y84" s="71"/>
      <c r="Z84" s="68">
        <f>+H84*tab!F$16</f>
        <v>0</v>
      </c>
      <c r="AA84" s="68">
        <f>+I84*tab!G$16</f>
        <v>0</v>
      </c>
      <c r="AB84" s="68">
        <f>+J84*tab!H$16</f>
        <v>0</v>
      </c>
      <c r="AC84" s="68">
        <f>+K84*tab!I$16</f>
        <v>0</v>
      </c>
      <c r="AD84" s="68">
        <f>+L84*tab!J$16</f>
        <v>0</v>
      </c>
      <c r="AE84" s="71"/>
      <c r="AF84" s="153">
        <v>0</v>
      </c>
      <c r="AG84" s="120">
        <f t="shared" si="23"/>
        <v>0</v>
      </c>
      <c r="AH84" s="120">
        <f t="shared" si="23"/>
        <v>0</v>
      </c>
      <c r="AI84" s="120">
        <f t="shared" si="14"/>
        <v>0</v>
      </c>
      <c r="AJ84" s="120">
        <f t="shared" si="14"/>
        <v>0</v>
      </c>
      <c r="AK84" s="92"/>
      <c r="AL84" s="134"/>
    </row>
    <row r="85" spans="2:38" s="113" customFormat="1" x14ac:dyDescent="0.2">
      <c r="B85" s="1073"/>
      <c r="C85" s="150"/>
      <c r="D85" s="50">
        <v>71</v>
      </c>
      <c r="E85" s="151" t="s">
        <v>324</v>
      </c>
      <c r="F85" s="923" t="s">
        <v>312</v>
      </c>
      <c r="G85" s="1088"/>
      <c r="H85" s="925">
        <v>0</v>
      </c>
      <c r="I85" s="119">
        <f t="shared" si="24"/>
        <v>0</v>
      </c>
      <c r="J85" s="119">
        <f t="shared" si="24"/>
        <v>0</v>
      </c>
      <c r="K85" s="119">
        <f t="shared" si="24"/>
        <v>0</v>
      </c>
      <c r="L85" s="119">
        <f t="shared" si="24"/>
        <v>0</v>
      </c>
      <c r="M85" s="71"/>
      <c r="N85" s="68">
        <f>H85*tab!F$15</f>
        <v>0</v>
      </c>
      <c r="O85" s="68">
        <f>I85*tab!G$15</f>
        <v>0</v>
      </c>
      <c r="P85" s="68">
        <f>J85*tab!H$15</f>
        <v>0</v>
      </c>
      <c r="Q85" s="68">
        <f>K85*tab!I$15</f>
        <v>0</v>
      </c>
      <c r="R85" s="68">
        <f>L85*tab!J$15</f>
        <v>0</v>
      </c>
      <c r="S85" s="71"/>
      <c r="T85" s="120">
        <v>0</v>
      </c>
      <c r="U85" s="120">
        <f t="shared" si="25"/>
        <v>0</v>
      </c>
      <c r="V85" s="120">
        <f t="shared" si="26"/>
        <v>0</v>
      </c>
      <c r="W85" s="120">
        <f t="shared" si="26"/>
        <v>0</v>
      </c>
      <c r="X85" s="120">
        <f t="shared" si="26"/>
        <v>0</v>
      </c>
      <c r="Y85" s="71"/>
      <c r="Z85" s="68">
        <f>+H85*tab!F$16</f>
        <v>0</v>
      </c>
      <c r="AA85" s="68">
        <f>+I85*tab!G$16</f>
        <v>0</v>
      </c>
      <c r="AB85" s="68">
        <f>+J85*tab!H$16</f>
        <v>0</v>
      </c>
      <c r="AC85" s="68">
        <f>+K85*tab!I$16</f>
        <v>0</v>
      </c>
      <c r="AD85" s="68">
        <f>+L85*tab!J$16</f>
        <v>0</v>
      </c>
      <c r="AE85" s="71"/>
      <c r="AF85" s="153">
        <v>0</v>
      </c>
      <c r="AG85" s="120">
        <f t="shared" si="23"/>
        <v>0</v>
      </c>
      <c r="AH85" s="120">
        <f t="shared" si="23"/>
        <v>0</v>
      </c>
      <c r="AI85" s="120">
        <f t="shared" si="14"/>
        <v>0</v>
      </c>
      <c r="AJ85" s="120">
        <f t="shared" si="14"/>
        <v>0</v>
      </c>
      <c r="AK85" s="92"/>
      <c r="AL85" s="134"/>
    </row>
    <row r="86" spans="2:38" s="113" customFormat="1" x14ac:dyDescent="0.2">
      <c r="B86" s="1073"/>
      <c r="C86" s="150"/>
      <c r="D86" s="50">
        <v>72</v>
      </c>
      <c r="E86" s="151" t="s">
        <v>325</v>
      </c>
      <c r="F86" s="923" t="s">
        <v>312</v>
      </c>
      <c r="G86" s="1088"/>
      <c r="H86" s="925">
        <v>0</v>
      </c>
      <c r="I86" s="119">
        <f t="shared" si="24"/>
        <v>0</v>
      </c>
      <c r="J86" s="119">
        <f t="shared" si="24"/>
        <v>0</v>
      </c>
      <c r="K86" s="119">
        <f t="shared" si="24"/>
        <v>0</v>
      </c>
      <c r="L86" s="119">
        <f t="shared" si="24"/>
        <v>0</v>
      </c>
      <c r="M86" s="71"/>
      <c r="N86" s="68">
        <f>H86*tab!F$15</f>
        <v>0</v>
      </c>
      <c r="O86" s="68">
        <f>I86*tab!G$15</f>
        <v>0</v>
      </c>
      <c r="P86" s="68">
        <f>J86*tab!H$15</f>
        <v>0</v>
      </c>
      <c r="Q86" s="68">
        <f>K86*tab!I$15</f>
        <v>0</v>
      </c>
      <c r="R86" s="68">
        <f>L86*tab!J$15</f>
        <v>0</v>
      </c>
      <c r="S86" s="71"/>
      <c r="T86" s="120">
        <v>0</v>
      </c>
      <c r="U86" s="120">
        <f t="shared" si="25"/>
        <v>0</v>
      </c>
      <c r="V86" s="120">
        <f t="shared" si="26"/>
        <v>0</v>
      </c>
      <c r="W86" s="120">
        <f t="shared" si="26"/>
        <v>0</v>
      </c>
      <c r="X86" s="120">
        <f t="shared" si="26"/>
        <v>0</v>
      </c>
      <c r="Y86" s="71"/>
      <c r="Z86" s="68">
        <f>+H86*tab!F$16</f>
        <v>0</v>
      </c>
      <c r="AA86" s="68">
        <f>+I86*tab!G$16</f>
        <v>0</v>
      </c>
      <c r="AB86" s="68">
        <f>+J86*tab!H$16</f>
        <v>0</v>
      </c>
      <c r="AC86" s="68">
        <f>+K86*tab!I$16</f>
        <v>0</v>
      </c>
      <c r="AD86" s="68">
        <f>+L86*tab!J$16</f>
        <v>0</v>
      </c>
      <c r="AE86" s="71"/>
      <c r="AF86" s="153">
        <v>0</v>
      </c>
      <c r="AG86" s="120">
        <f t="shared" si="23"/>
        <v>0</v>
      </c>
      <c r="AH86" s="120">
        <f t="shared" si="23"/>
        <v>0</v>
      </c>
      <c r="AI86" s="120">
        <f t="shared" si="14"/>
        <v>0</v>
      </c>
      <c r="AJ86" s="120">
        <f t="shared" si="14"/>
        <v>0</v>
      </c>
      <c r="AK86" s="92"/>
      <c r="AL86" s="134"/>
    </row>
    <row r="87" spans="2:38" s="113" customFormat="1" x14ac:dyDescent="0.2">
      <c r="B87" s="1073"/>
      <c r="C87" s="150"/>
      <c r="D87" s="50">
        <v>73</v>
      </c>
      <c r="E87" s="151" t="s">
        <v>326</v>
      </c>
      <c r="F87" s="923" t="s">
        <v>312</v>
      </c>
      <c r="G87" s="1088"/>
      <c r="H87" s="925">
        <v>0</v>
      </c>
      <c r="I87" s="119">
        <f t="shared" si="24"/>
        <v>0</v>
      </c>
      <c r="J87" s="119">
        <f t="shared" si="24"/>
        <v>0</v>
      </c>
      <c r="K87" s="119">
        <f t="shared" si="24"/>
        <v>0</v>
      </c>
      <c r="L87" s="119">
        <f t="shared" si="24"/>
        <v>0</v>
      </c>
      <c r="M87" s="71"/>
      <c r="N87" s="68">
        <f>H87*tab!F$15</f>
        <v>0</v>
      </c>
      <c r="O87" s="68">
        <f>I87*tab!G$15</f>
        <v>0</v>
      </c>
      <c r="P87" s="68">
        <f>J87*tab!H$15</f>
        <v>0</v>
      </c>
      <c r="Q87" s="68">
        <f>K87*tab!I$15</f>
        <v>0</v>
      </c>
      <c r="R87" s="68">
        <f>L87*tab!J$15</f>
        <v>0</v>
      </c>
      <c r="S87" s="71"/>
      <c r="T87" s="120">
        <v>0</v>
      </c>
      <c r="U87" s="120">
        <f t="shared" si="25"/>
        <v>0</v>
      </c>
      <c r="V87" s="120">
        <f t="shared" si="26"/>
        <v>0</v>
      </c>
      <c r="W87" s="120">
        <f t="shared" si="26"/>
        <v>0</v>
      </c>
      <c r="X87" s="120">
        <f t="shared" si="26"/>
        <v>0</v>
      </c>
      <c r="Y87" s="71"/>
      <c r="Z87" s="68">
        <f>+H87*tab!F$16</f>
        <v>0</v>
      </c>
      <c r="AA87" s="68">
        <f>+I87*tab!G$16</f>
        <v>0</v>
      </c>
      <c r="AB87" s="68">
        <f>+J87*tab!H$16</f>
        <v>0</v>
      </c>
      <c r="AC87" s="68">
        <f>+K87*tab!I$16</f>
        <v>0</v>
      </c>
      <c r="AD87" s="68">
        <f>+L87*tab!J$16</f>
        <v>0</v>
      </c>
      <c r="AE87" s="71"/>
      <c r="AF87" s="153">
        <v>0</v>
      </c>
      <c r="AG87" s="120">
        <f t="shared" si="23"/>
        <v>0</v>
      </c>
      <c r="AH87" s="120">
        <f t="shared" si="23"/>
        <v>0</v>
      </c>
      <c r="AI87" s="120">
        <f t="shared" si="14"/>
        <v>0</v>
      </c>
      <c r="AJ87" s="120">
        <f t="shared" si="14"/>
        <v>0</v>
      </c>
      <c r="AK87" s="92"/>
      <c r="AL87" s="134"/>
    </row>
    <row r="88" spans="2:38" s="113" customFormat="1" x14ac:dyDescent="0.2">
      <c r="B88" s="1073"/>
      <c r="C88" s="150"/>
      <c r="D88" s="50">
        <v>74</v>
      </c>
      <c r="E88" s="151" t="s">
        <v>327</v>
      </c>
      <c r="F88" s="923" t="s">
        <v>312</v>
      </c>
      <c r="G88" s="1088"/>
      <c r="H88" s="925">
        <v>0</v>
      </c>
      <c r="I88" s="119">
        <f t="shared" si="24"/>
        <v>0</v>
      </c>
      <c r="J88" s="119">
        <f t="shared" si="24"/>
        <v>0</v>
      </c>
      <c r="K88" s="119">
        <f t="shared" si="24"/>
        <v>0</v>
      </c>
      <c r="L88" s="119">
        <f t="shared" si="24"/>
        <v>0</v>
      </c>
      <c r="M88" s="71"/>
      <c r="N88" s="68">
        <f>H88*tab!F$15</f>
        <v>0</v>
      </c>
      <c r="O88" s="68">
        <f>I88*tab!G$15</f>
        <v>0</v>
      </c>
      <c r="P88" s="68">
        <f>J88*tab!H$15</f>
        <v>0</v>
      </c>
      <c r="Q88" s="68">
        <f>K88*tab!I$15</f>
        <v>0</v>
      </c>
      <c r="R88" s="68">
        <f>L88*tab!J$15</f>
        <v>0</v>
      </c>
      <c r="S88" s="71"/>
      <c r="T88" s="120">
        <v>0</v>
      </c>
      <c r="U88" s="120">
        <f t="shared" si="25"/>
        <v>0</v>
      </c>
      <c r="V88" s="120">
        <f t="shared" si="26"/>
        <v>0</v>
      </c>
      <c r="W88" s="120">
        <f t="shared" si="26"/>
        <v>0</v>
      </c>
      <c r="X88" s="120">
        <f t="shared" si="26"/>
        <v>0</v>
      </c>
      <c r="Y88" s="71"/>
      <c r="Z88" s="68">
        <f>+H88*tab!F$16</f>
        <v>0</v>
      </c>
      <c r="AA88" s="68">
        <f>+I88*tab!G$16</f>
        <v>0</v>
      </c>
      <c r="AB88" s="68">
        <f>+J88*tab!H$16</f>
        <v>0</v>
      </c>
      <c r="AC88" s="68">
        <f>+K88*tab!I$16</f>
        <v>0</v>
      </c>
      <c r="AD88" s="68">
        <f>+L88*tab!J$16</f>
        <v>0</v>
      </c>
      <c r="AE88" s="71"/>
      <c r="AF88" s="153">
        <v>0</v>
      </c>
      <c r="AG88" s="120">
        <f t="shared" ref="AG88:AJ107" si="27">AF88</f>
        <v>0</v>
      </c>
      <c r="AH88" s="120">
        <f t="shared" si="27"/>
        <v>0</v>
      </c>
      <c r="AI88" s="120">
        <f t="shared" si="14"/>
        <v>0</v>
      </c>
      <c r="AJ88" s="120">
        <f t="shared" si="14"/>
        <v>0</v>
      </c>
      <c r="AK88" s="92"/>
      <c r="AL88" s="134"/>
    </row>
    <row r="89" spans="2:38" s="113" customFormat="1" x14ac:dyDescent="0.2">
      <c r="B89" s="1073"/>
      <c r="C89" s="150"/>
      <c r="D89" s="50">
        <v>75</v>
      </c>
      <c r="E89" s="151" t="s">
        <v>328</v>
      </c>
      <c r="F89" s="923" t="s">
        <v>312</v>
      </c>
      <c r="G89" s="1088"/>
      <c r="H89" s="925">
        <v>0</v>
      </c>
      <c r="I89" s="119">
        <f t="shared" si="24"/>
        <v>0</v>
      </c>
      <c r="J89" s="119">
        <f t="shared" si="24"/>
        <v>0</v>
      </c>
      <c r="K89" s="119">
        <f t="shared" si="24"/>
        <v>0</v>
      </c>
      <c r="L89" s="119">
        <f t="shared" si="24"/>
        <v>0</v>
      </c>
      <c r="M89" s="71"/>
      <c r="N89" s="68">
        <f>H89*tab!F$15</f>
        <v>0</v>
      </c>
      <c r="O89" s="68">
        <f>I89*tab!G$15</f>
        <v>0</v>
      </c>
      <c r="P89" s="68">
        <f>J89*tab!H$15</f>
        <v>0</v>
      </c>
      <c r="Q89" s="68">
        <f>K89*tab!I$15</f>
        <v>0</v>
      </c>
      <c r="R89" s="68">
        <f>L89*tab!J$15</f>
        <v>0</v>
      </c>
      <c r="S89" s="71"/>
      <c r="T89" s="120">
        <v>0</v>
      </c>
      <c r="U89" s="120">
        <f t="shared" si="25"/>
        <v>0</v>
      </c>
      <c r="V89" s="120">
        <f t="shared" si="26"/>
        <v>0</v>
      </c>
      <c r="W89" s="120">
        <f t="shared" si="26"/>
        <v>0</v>
      </c>
      <c r="X89" s="120">
        <f t="shared" si="26"/>
        <v>0</v>
      </c>
      <c r="Y89" s="71"/>
      <c r="Z89" s="68">
        <f>+H89*tab!F$16</f>
        <v>0</v>
      </c>
      <c r="AA89" s="68">
        <f>+I89*tab!G$16</f>
        <v>0</v>
      </c>
      <c r="AB89" s="68">
        <f>+J89*tab!H$16</f>
        <v>0</v>
      </c>
      <c r="AC89" s="68">
        <f>+K89*tab!I$16</f>
        <v>0</v>
      </c>
      <c r="AD89" s="68">
        <f>+L89*tab!J$16</f>
        <v>0</v>
      </c>
      <c r="AE89" s="71"/>
      <c r="AF89" s="153">
        <v>0</v>
      </c>
      <c r="AG89" s="120">
        <f t="shared" si="27"/>
        <v>0</v>
      </c>
      <c r="AH89" s="120">
        <f t="shared" si="27"/>
        <v>0</v>
      </c>
      <c r="AI89" s="120">
        <f t="shared" si="14"/>
        <v>0</v>
      </c>
      <c r="AJ89" s="120">
        <f t="shared" si="14"/>
        <v>0</v>
      </c>
      <c r="AK89" s="92"/>
      <c r="AL89" s="134"/>
    </row>
    <row r="90" spans="2:38" s="113" customFormat="1" x14ac:dyDescent="0.2">
      <c r="B90" s="1073"/>
      <c r="C90" s="150"/>
      <c r="D90" s="50">
        <v>76</v>
      </c>
      <c r="E90" s="151" t="s">
        <v>329</v>
      </c>
      <c r="F90" s="923" t="s">
        <v>312</v>
      </c>
      <c r="G90" s="1088"/>
      <c r="H90" s="925">
        <v>0</v>
      </c>
      <c r="I90" s="119">
        <f t="shared" si="24"/>
        <v>0</v>
      </c>
      <c r="J90" s="119">
        <f t="shared" si="24"/>
        <v>0</v>
      </c>
      <c r="K90" s="119">
        <f t="shared" si="24"/>
        <v>0</v>
      </c>
      <c r="L90" s="119">
        <f t="shared" si="24"/>
        <v>0</v>
      </c>
      <c r="M90" s="71"/>
      <c r="N90" s="68">
        <f>H90*tab!F$15</f>
        <v>0</v>
      </c>
      <c r="O90" s="68">
        <f>I90*tab!G$15</f>
        <v>0</v>
      </c>
      <c r="P90" s="68">
        <f>J90*tab!H$15</f>
        <v>0</v>
      </c>
      <c r="Q90" s="68">
        <f>K90*tab!I$15</f>
        <v>0</v>
      </c>
      <c r="R90" s="68">
        <f>L90*tab!J$15</f>
        <v>0</v>
      </c>
      <c r="S90" s="71"/>
      <c r="T90" s="120">
        <v>0</v>
      </c>
      <c r="U90" s="120">
        <f t="shared" si="25"/>
        <v>0</v>
      </c>
      <c r="V90" s="120">
        <f t="shared" si="26"/>
        <v>0</v>
      </c>
      <c r="W90" s="120">
        <f t="shared" si="26"/>
        <v>0</v>
      </c>
      <c r="X90" s="120">
        <f t="shared" si="26"/>
        <v>0</v>
      </c>
      <c r="Y90" s="71"/>
      <c r="Z90" s="68">
        <f>+H90*tab!F$16</f>
        <v>0</v>
      </c>
      <c r="AA90" s="68">
        <f>+I90*tab!G$16</f>
        <v>0</v>
      </c>
      <c r="AB90" s="68">
        <f>+J90*tab!H$16</f>
        <v>0</v>
      </c>
      <c r="AC90" s="68">
        <f>+K90*tab!I$16</f>
        <v>0</v>
      </c>
      <c r="AD90" s="68">
        <f>+L90*tab!J$16</f>
        <v>0</v>
      </c>
      <c r="AE90" s="71"/>
      <c r="AF90" s="153">
        <v>0</v>
      </c>
      <c r="AG90" s="120">
        <f t="shared" si="27"/>
        <v>0</v>
      </c>
      <c r="AH90" s="120">
        <f t="shared" si="27"/>
        <v>0</v>
      </c>
      <c r="AI90" s="120">
        <f t="shared" si="14"/>
        <v>0</v>
      </c>
      <c r="AJ90" s="120">
        <f t="shared" si="14"/>
        <v>0</v>
      </c>
      <c r="AK90" s="92"/>
      <c r="AL90" s="134"/>
    </row>
    <row r="91" spans="2:38" s="113" customFormat="1" x14ac:dyDescent="0.2">
      <c r="B91" s="1073"/>
      <c r="C91" s="150"/>
      <c r="D91" s="50">
        <v>77</v>
      </c>
      <c r="E91" s="151" t="s">
        <v>330</v>
      </c>
      <c r="F91" s="923" t="s">
        <v>312</v>
      </c>
      <c r="G91" s="1088"/>
      <c r="H91" s="925">
        <v>0</v>
      </c>
      <c r="I91" s="119">
        <f t="shared" si="24"/>
        <v>0</v>
      </c>
      <c r="J91" s="119">
        <f t="shared" si="24"/>
        <v>0</v>
      </c>
      <c r="K91" s="119">
        <f t="shared" si="24"/>
        <v>0</v>
      </c>
      <c r="L91" s="119">
        <f t="shared" si="24"/>
        <v>0</v>
      </c>
      <c r="M91" s="71"/>
      <c r="N91" s="68">
        <f>H91*tab!F$15</f>
        <v>0</v>
      </c>
      <c r="O91" s="68">
        <f>I91*tab!G$15</f>
        <v>0</v>
      </c>
      <c r="P91" s="68">
        <f>J91*tab!H$15</f>
        <v>0</v>
      </c>
      <c r="Q91" s="68">
        <f>K91*tab!I$15</f>
        <v>0</v>
      </c>
      <c r="R91" s="68">
        <f>L91*tab!J$15</f>
        <v>0</v>
      </c>
      <c r="S91" s="71"/>
      <c r="T91" s="120">
        <v>0</v>
      </c>
      <c r="U91" s="120">
        <f t="shared" si="25"/>
        <v>0</v>
      </c>
      <c r="V91" s="120">
        <f t="shared" si="26"/>
        <v>0</v>
      </c>
      <c r="W91" s="120">
        <f t="shared" si="26"/>
        <v>0</v>
      </c>
      <c r="X91" s="120">
        <f t="shared" si="26"/>
        <v>0</v>
      </c>
      <c r="Y91" s="71"/>
      <c r="Z91" s="68">
        <f>+H91*tab!F$16</f>
        <v>0</v>
      </c>
      <c r="AA91" s="68">
        <f>+I91*tab!G$16</f>
        <v>0</v>
      </c>
      <c r="AB91" s="68">
        <f>+J91*tab!H$16</f>
        <v>0</v>
      </c>
      <c r="AC91" s="68">
        <f>+K91*tab!I$16</f>
        <v>0</v>
      </c>
      <c r="AD91" s="68">
        <f>+L91*tab!J$16</f>
        <v>0</v>
      </c>
      <c r="AE91" s="71"/>
      <c r="AF91" s="153">
        <v>0</v>
      </c>
      <c r="AG91" s="120">
        <f t="shared" si="27"/>
        <v>0</v>
      </c>
      <c r="AH91" s="120">
        <f t="shared" si="27"/>
        <v>0</v>
      </c>
      <c r="AI91" s="120">
        <f t="shared" si="14"/>
        <v>0</v>
      </c>
      <c r="AJ91" s="120">
        <f t="shared" si="14"/>
        <v>0</v>
      </c>
      <c r="AK91" s="92"/>
      <c r="AL91" s="134"/>
    </row>
    <row r="92" spans="2:38" s="113" customFormat="1" x14ac:dyDescent="0.2">
      <c r="B92" s="1073"/>
      <c r="C92" s="150"/>
      <c r="D92" s="50">
        <v>78</v>
      </c>
      <c r="E92" s="151" t="s">
        <v>331</v>
      </c>
      <c r="F92" s="923" t="s">
        <v>312</v>
      </c>
      <c r="G92" s="1088"/>
      <c r="H92" s="925">
        <v>0</v>
      </c>
      <c r="I92" s="119">
        <f t="shared" si="24"/>
        <v>0</v>
      </c>
      <c r="J92" s="119">
        <f t="shared" si="24"/>
        <v>0</v>
      </c>
      <c r="K92" s="119">
        <f t="shared" si="24"/>
        <v>0</v>
      </c>
      <c r="L92" s="119">
        <f t="shared" si="24"/>
        <v>0</v>
      </c>
      <c r="M92" s="71"/>
      <c r="N92" s="68">
        <f>H92*tab!F$15</f>
        <v>0</v>
      </c>
      <c r="O92" s="68">
        <f>I92*tab!G$15</f>
        <v>0</v>
      </c>
      <c r="P92" s="68">
        <f>J92*tab!H$15</f>
        <v>0</v>
      </c>
      <c r="Q92" s="68">
        <f>K92*tab!I$15</f>
        <v>0</v>
      </c>
      <c r="R92" s="68">
        <f>L92*tab!J$15</f>
        <v>0</v>
      </c>
      <c r="S92" s="71"/>
      <c r="T92" s="120">
        <v>0</v>
      </c>
      <c r="U92" s="120">
        <f t="shared" si="25"/>
        <v>0</v>
      </c>
      <c r="V92" s="120">
        <f t="shared" si="26"/>
        <v>0</v>
      </c>
      <c r="W92" s="120">
        <f t="shared" si="26"/>
        <v>0</v>
      </c>
      <c r="X92" s="120">
        <f t="shared" si="26"/>
        <v>0</v>
      </c>
      <c r="Y92" s="71"/>
      <c r="Z92" s="68">
        <f>+H92*tab!F$16</f>
        <v>0</v>
      </c>
      <c r="AA92" s="68">
        <f>+I92*tab!G$16</f>
        <v>0</v>
      </c>
      <c r="AB92" s="68">
        <f>+J92*tab!H$16</f>
        <v>0</v>
      </c>
      <c r="AC92" s="68">
        <f>+K92*tab!I$16</f>
        <v>0</v>
      </c>
      <c r="AD92" s="68">
        <f>+L92*tab!J$16</f>
        <v>0</v>
      </c>
      <c r="AE92" s="71"/>
      <c r="AF92" s="153">
        <v>0</v>
      </c>
      <c r="AG92" s="120">
        <f t="shared" si="27"/>
        <v>0</v>
      </c>
      <c r="AH92" s="120">
        <f t="shared" si="27"/>
        <v>0</v>
      </c>
      <c r="AI92" s="120">
        <f t="shared" si="14"/>
        <v>0</v>
      </c>
      <c r="AJ92" s="120">
        <f t="shared" si="14"/>
        <v>0</v>
      </c>
      <c r="AK92" s="92"/>
      <c r="AL92" s="134"/>
    </row>
    <row r="93" spans="2:38" s="113" customFormat="1" x14ac:dyDescent="0.2">
      <c r="B93" s="1073"/>
      <c r="C93" s="150"/>
      <c r="D93" s="50">
        <v>79</v>
      </c>
      <c r="E93" s="151" t="s">
        <v>332</v>
      </c>
      <c r="F93" s="923" t="s">
        <v>312</v>
      </c>
      <c r="G93" s="1088"/>
      <c r="H93" s="925">
        <v>0</v>
      </c>
      <c r="I93" s="119">
        <f t="shared" si="24"/>
        <v>0</v>
      </c>
      <c r="J93" s="119">
        <f t="shared" si="24"/>
        <v>0</v>
      </c>
      <c r="K93" s="119">
        <f t="shared" si="24"/>
        <v>0</v>
      </c>
      <c r="L93" s="119">
        <f t="shared" si="24"/>
        <v>0</v>
      </c>
      <c r="M93" s="71"/>
      <c r="N93" s="68">
        <f>H93*tab!F$15</f>
        <v>0</v>
      </c>
      <c r="O93" s="68">
        <f>I93*tab!G$15</f>
        <v>0</v>
      </c>
      <c r="P93" s="68">
        <f>J93*tab!H$15</f>
        <v>0</v>
      </c>
      <c r="Q93" s="68">
        <f>K93*tab!I$15</f>
        <v>0</v>
      </c>
      <c r="R93" s="68">
        <f>L93*tab!J$15</f>
        <v>0</v>
      </c>
      <c r="S93" s="71"/>
      <c r="T93" s="120">
        <v>0</v>
      </c>
      <c r="U93" s="120">
        <f t="shared" si="25"/>
        <v>0</v>
      </c>
      <c r="V93" s="120">
        <f t="shared" si="26"/>
        <v>0</v>
      </c>
      <c r="W93" s="120">
        <f t="shared" si="26"/>
        <v>0</v>
      </c>
      <c r="X93" s="120">
        <f t="shared" si="26"/>
        <v>0</v>
      </c>
      <c r="Y93" s="71"/>
      <c r="Z93" s="68">
        <f>+H93*tab!F$16</f>
        <v>0</v>
      </c>
      <c r="AA93" s="68">
        <f>+I93*tab!G$16</f>
        <v>0</v>
      </c>
      <c r="AB93" s="68">
        <f>+J93*tab!H$16</f>
        <v>0</v>
      </c>
      <c r="AC93" s="68">
        <f>+K93*tab!I$16</f>
        <v>0</v>
      </c>
      <c r="AD93" s="68">
        <f>+L93*tab!J$16</f>
        <v>0</v>
      </c>
      <c r="AE93" s="71"/>
      <c r="AF93" s="153">
        <v>0</v>
      </c>
      <c r="AG93" s="120">
        <f t="shared" si="27"/>
        <v>0</v>
      </c>
      <c r="AH93" s="120">
        <f t="shared" si="27"/>
        <v>0</v>
      </c>
      <c r="AI93" s="120">
        <f t="shared" si="14"/>
        <v>0</v>
      </c>
      <c r="AJ93" s="120">
        <f t="shared" si="14"/>
        <v>0</v>
      </c>
      <c r="AK93" s="92"/>
      <c r="AL93" s="134"/>
    </row>
    <row r="94" spans="2:38" s="113" customFormat="1" x14ac:dyDescent="0.2">
      <c r="B94" s="1073"/>
      <c r="C94" s="150"/>
      <c r="D94" s="50">
        <v>80</v>
      </c>
      <c r="E94" s="151" t="s">
        <v>333</v>
      </c>
      <c r="F94" s="923" t="s">
        <v>312</v>
      </c>
      <c r="G94" s="1088"/>
      <c r="H94" s="925">
        <v>0</v>
      </c>
      <c r="I94" s="119">
        <f t="shared" si="24"/>
        <v>0</v>
      </c>
      <c r="J94" s="119">
        <f t="shared" si="24"/>
        <v>0</v>
      </c>
      <c r="K94" s="119">
        <f t="shared" si="24"/>
        <v>0</v>
      </c>
      <c r="L94" s="119">
        <f t="shared" si="24"/>
        <v>0</v>
      </c>
      <c r="M94" s="71"/>
      <c r="N94" s="68">
        <f>H94*tab!F$15</f>
        <v>0</v>
      </c>
      <c r="O94" s="68">
        <f>I94*tab!G$15</f>
        <v>0</v>
      </c>
      <c r="P94" s="68">
        <f>J94*tab!H$15</f>
        <v>0</v>
      </c>
      <c r="Q94" s="68">
        <f>K94*tab!I$15</f>
        <v>0</v>
      </c>
      <c r="R94" s="68">
        <f>L94*tab!J$15</f>
        <v>0</v>
      </c>
      <c r="S94" s="71"/>
      <c r="T94" s="120">
        <v>0</v>
      </c>
      <c r="U94" s="120">
        <f t="shared" si="25"/>
        <v>0</v>
      </c>
      <c r="V94" s="120">
        <f t="shared" si="26"/>
        <v>0</v>
      </c>
      <c r="W94" s="120">
        <f t="shared" si="26"/>
        <v>0</v>
      </c>
      <c r="X94" s="120">
        <f t="shared" si="26"/>
        <v>0</v>
      </c>
      <c r="Y94" s="71"/>
      <c r="Z94" s="68">
        <f>+H94*tab!F$16</f>
        <v>0</v>
      </c>
      <c r="AA94" s="68">
        <f>+I94*tab!G$16</f>
        <v>0</v>
      </c>
      <c r="AB94" s="68">
        <f>+J94*tab!H$16</f>
        <v>0</v>
      </c>
      <c r="AC94" s="68">
        <f>+K94*tab!I$16</f>
        <v>0</v>
      </c>
      <c r="AD94" s="68">
        <f>+L94*tab!J$16</f>
        <v>0</v>
      </c>
      <c r="AE94" s="71"/>
      <c r="AF94" s="153">
        <v>0</v>
      </c>
      <c r="AG94" s="120">
        <f t="shared" si="27"/>
        <v>0</v>
      </c>
      <c r="AH94" s="120">
        <f t="shared" si="27"/>
        <v>0</v>
      </c>
      <c r="AI94" s="120">
        <f t="shared" si="14"/>
        <v>0</v>
      </c>
      <c r="AJ94" s="120">
        <f t="shared" si="14"/>
        <v>0</v>
      </c>
      <c r="AK94" s="92"/>
      <c r="AL94" s="134"/>
    </row>
    <row r="95" spans="2:38" s="113" customFormat="1" x14ac:dyDescent="0.2">
      <c r="B95" s="1073"/>
      <c r="C95" s="150"/>
      <c r="D95" s="50">
        <v>81</v>
      </c>
      <c r="E95" s="151" t="s">
        <v>334</v>
      </c>
      <c r="F95" s="923" t="s">
        <v>312</v>
      </c>
      <c r="G95" s="1088"/>
      <c r="H95" s="925">
        <v>0</v>
      </c>
      <c r="I95" s="119">
        <f t="shared" si="24"/>
        <v>0</v>
      </c>
      <c r="J95" s="119">
        <f t="shared" si="24"/>
        <v>0</v>
      </c>
      <c r="K95" s="119">
        <f t="shared" si="24"/>
        <v>0</v>
      </c>
      <c r="L95" s="119">
        <f t="shared" si="24"/>
        <v>0</v>
      </c>
      <c r="M95" s="71"/>
      <c r="N95" s="68">
        <f>H95*tab!F$15</f>
        <v>0</v>
      </c>
      <c r="O95" s="68">
        <f>I95*tab!G$15</f>
        <v>0</v>
      </c>
      <c r="P95" s="68">
        <f>J95*tab!H$15</f>
        <v>0</v>
      </c>
      <c r="Q95" s="68">
        <f>K95*tab!I$15</f>
        <v>0</v>
      </c>
      <c r="R95" s="68">
        <f>L95*tab!J$15</f>
        <v>0</v>
      </c>
      <c r="S95" s="71"/>
      <c r="T95" s="120">
        <v>0</v>
      </c>
      <c r="U95" s="120">
        <f t="shared" si="25"/>
        <v>0</v>
      </c>
      <c r="V95" s="120">
        <f t="shared" si="26"/>
        <v>0</v>
      </c>
      <c r="W95" s="120">
        <f t="shared" si="26"/>
        <v>0</v>
      </c>
      <c r="X95" s="120">
        <f t="shared" si="26"/>
        <v>0</v>
      </c>
      <c r="Y95" s="71"/>
      <c r="Z95" s="68">
        <f>+H95*tab!F$16</f>
        <v>0</v>
      </c>
      <c r="AA95" s="68">
        <f>+I95*tab!G$16</f>
        <v>0</v>
      </c>
      <c r="AB95" s="68">
        <f>+J95*tab!H$16</f>
        <v>0</v>
      </c>
      <c r="AC95" s="68">
        <f>+K95*tab!I$16</f>
        <v>0</v>
      </c>
      <c r="AD95" s="68">
        <f>+L95*tab!J$16</f>
        <v>0</v>
      </c>
      <c r="AE95" s="71"/>
      <c r="AF95" s="153">
        <v>0</v>
      </c>
      <c r="AG95" s="120">
        <f t="shared" si="27"/>
        <v>0</v>
      </c>
      <c r="AH95" s="120">
        <f t="shared" si="27"/>
        <v>0</v>
      </c>
      <c r="AI95" s="120">
        <f t="shared" si="27"/>
        <v>0</v>
      </c>
      <c r="AJ95" s="120">
        <f t="shared" si="27"/>
        <v>0</v>
      </c>
      <c r="AK95" s="92"/>
      <c r="AL95" s="134"/>
    </row>
    <row r="96" spans="2:38" s="113" customFormat="1" x14ac:dyDescent="0.2">
      <c r="B96" s="1073"/>
      <c r="C96" s="150"/>
      <c r="D96" s="50">
        <v>82</v>
      </c>
      <c r="E96" s="151" t="s">
        <v>335</v>
      </c>
      <c r="F96" s="923" t="s">
        <v>312</v>
      </c>
      <c r="G96" s="1088"/>
      <c r="H96" s="925">
        <v>0</v>
      </c>
      <c r="I96" s="119">
        <f t="shared" si="24"/>
        <v>0</v>
      </c>
      <c r="J96" s="119">
        <f t="shared" si="24"/>
        <v>0</v>
      </c>
      <c r="K96" s="119">
        <f t="shared" si="24"/>
        <v>0</v>
      </c>
      <c r="L96" s="119">
        <f t="shared" si="24"/>
        <v>0</v>
      </c>
      <c r="M96" s="71"/>
      <c r="N96" s="68">
        <f>H96*tab!F$15</f>
        <v>0</v>
      </c>
      <c r="O96" s="68">
        <f>I96*tab!G$15</f>
        <v>0</v>
      </c>
      <c r="P96" s="68">
        <f>J96*tab!H$15</f>
        <v>0</v>
      </c>
      <c r="Q96" s="68">
        <f>K96*tab!I$15</f>
        <v>0</v>
      </c>
      <c r="R96" s="68">
        <f>L96*tab!J$15</f>
        <v>0</v>
      </c>
      <c r="S96" s="71"/>
      <c r="T96" s="120">
        <v>0</v>
      </c>
      <c r="U96" s="120">
        <f t="shared" si="25"/>
        <v>0</v>
      </c>
      <c r="V96" s="120">
        <f t="shared" si="26"/>
        <v>0</v>
      </c>
      <c r="W96" s="120">
        <f t="shared" si="26"/>
        <v>0</v>
      </c>
      <c r="X96" s="120">
        <f t="shared" si="26"/>
        <v>0</v>
      </c>
      <c r="Y96" s="71"/>
      <c r="Z96" s="68">
        <f>+H96*tab!F$16</f>
        <v>0</v>
      </c>
      <c r="AA96" s="68">
        <f>+I96*tab!G$16</f>
        <v>0</v>
      </c>
      <c r="AB96" s="68">
        <f>+J96*tab!H$16</f>
        <v>0</v>
      </c>
      <c r="AC96" s="68">
        <f>+K96*tab!I$16</f>
        <v>0</v>
      </c>
      <c r="AD96" s="68">
        <f>+L96*tab!J$16</f>
        <v>0</v>
      </c>
      <c r="AE96" s="71"/>
      <c r="AF96" s="153">
        <v>0</v>
      </c>
      <c r="AG96" s="120">
        <f t="shared" si="27"/>
        <v>0</v>
      </c>
      <c r="AH96" s="120">
        <f t="shared" si="27"/>
        <v>0</v>
      </c>
      <c r="AI96" s="120">
        <f t="shared" si="27"/>
        <v>0</v>
      </c>
      <c r="AJ96" s="120">
        <f t="shared" si="27"/>
        <v>0</v>
      </c>
      <c r="AK96" s="92"/>
      <c r="AL96" s="134"/>
    </row>
    <row r="97" spans="2:38" s="113" customFormat="1" x14ac:dyDescent="0.2">
      <c r="B97" s="1073"/>
      <c r="C97" s="150"/>
      <c r="D97" s="50">
        <v>83</v>
      </c>
      <c r="E97" s="151" t="s">
        <v>336</v>
      </c>
      <c r="F97" s="923" t="s">
        <v>312</v>
      </c>
      <c r="G97" s="1088"/>
      <c r="H97" s="925">
        <v>0</v>
      </c>
      <c r="I97" s="119">
        <f t="shared" ref="I97:L116" si="28">H97</f>
        <v>0</v>
      </c>
      <c r="J97" s="119">
        <f t="shared" si="28"/>
        <v>0</v>
      </c>
      <c r="K97" s="119">
        <f t="shared" si="28"/>
        <v>0</v>
      </c>
      <c r="L97" s="119">
        <f t="shared" si="28"/>
        <v>0</v>
      </c>
      <c r="M97" s="71"/>
      <c r="N97" s="68">
        <f>H97*tab!F$15</f>
        <v>0</v>
      </c>
      <c r="O97" s="68">
        <f>I97*tab!G$15</f>
        <v>0</v>
      </c>
      <c r="P97" s="68">
        <f>J97*tab!H$15</f>
        <v>0</v>
      </c>
      <c r="Q97" s="68">
        <f>K97*tab!I$15</f>
        <v>0</v>
      </c>
      <c r="R97" s="68">
        <f>L97*tab!J$15</f>
        <v>0</v>
      </c>
      <c r="S97" s="71"/>
      <c r="T97" s="120">
        <v>0</v>
      </c>
      <c r="U97" s="120">
        <f t="shared" si="25"/>
        <v>0</v>
      </c>
      <c r="V97" s="120">
        <f t="shared" si="26"/>
        <v>0</v>
      </c>
      <c r="W97" s="120">
        <f t="shared" si="26"/>
        <v>0</v>
      </c>
      <c r="X97" s="120">
        <f t="shared" si="26"/>
        <v>0</v>
      </c>
      <c r="Y97" s="71"/>
      <c r="Z97" s="68">
        <f>+H97*tab!F$16</f>
        <v>0</v>
      </c>
      <c r="AA97" s="68">
        <f>+I97*tab!G$16</f>
        <v>0</v>
      </c>
      <c r="AB97" s="68">
        <f>+J97*tab!H$16</f>
        <v>0</v>
      </c>
      <c r="AC97" s="68">
        <f>+K97*tab!I$16</f>
        <v>0</v>
      </c>
      <c r="AD97" s="68">
        <f>+L97*tab!J$16</f>
        <v>0</v>
      </c>
      <c r="AE97" s="71"/>
      <c r="AF97" s="153">
        <v>0</v>
      </c>
      <c r="AG97" s="120">
        <f t="shared" si="27"/>
        <v>0</v>
      </c>
      <c r="AH97" s="120">
        <f t="shared" si="27"/>
        <v>0</v>
      </c>
      <c r="AI97" s="120">
        <f t="shared" si="27"/>
        <v>0</v>
      </c>
      <c r="AJ97" s="120">
        <f t="shared" si="27"/>
        <v>0</v>
      </c>
      <c r="AK97" s="92"/>
      <c r="AL97" s="134"/>
    </row>
    <row r="98" spans="2:38" s="113" customFormat="1" x14ac:dyDescent="0.2">
      <c r="B98" s="1073"/>
      <c r="C98" s="150"/>
      <c r="D98" s="50">
        <v>84</v>
      </c>
      <c r="E98" s="151" t="s">
        <v>337</v>
      </c>
      <c r="F98" s="923" t="s">
        <v>312</v>
      </c>
      <c r="G98" s="1088"/>
      <c r="H98" s="925">
        <v>0</v>
      </c>
      <c r="I98" s="119">
        <f t="shared" si="28"/>
        <v>0</v>
      </c>
      <c r="J98" s="119">
        <f t="shared" si="28"/>
        <v>0</v>
      </c>
      <c r="K98" s="119">
        <f t="shared" si="28"/>
        <v>0</v>
      </c>
      <c r="L98" s="119">
        <f t="shared" si="28"/>
        <v>0</v>
      </c>
      <c r="M98" s="71"/>
      <c r="N98" s="68">
        <f>H98*tab!F$15</f>
        <v>0</v>
      </c>
      <c r="O98" s="68">
        <f>I98*tab!G$15</f>
        <v>0</v>
      </c>
      <c r="P98" s="68">
        <f>J98*tab!H$15</f>
        <v>0</v>
      </c>
      <c r="Q98" s="68">
        <f>K98*tab!I$15</f>
        <v>0</v>
      </c>
      <c r="R98" s="68">
        <f>L98*tab!J$15</f>
        <v>0</v>
      </c>
      <c r="S98" s="71"/>
      <c r="T98" s="120">
        <v>0</v>
      </c>
      <c r="U98" s="120">
        <f t="shared" si="25"/>
        <v>0</v>
      </c>
      <c r="V98" s="120">
        <f t="shared" si="26"/>
        <v>0</v>
      </c>
      <c r="W98" s="120">
        <f t="shared" si="26"/>
        <v>0</v>
      </c>
      <c r="X98" s="120">
        <f t="shared" si="26"/>
        <v>0</v>
      </c>
      <c r="Y98" s="71"/>
      <c r="Z98" s="68">
        <f>+H98*tab!F$16</f>
        <v>0</v>
      </c>
      <c r="AA98" s="68">
        <f>+I98*tab!G$16</f>
        <v>0</v>
      </c>
      <c r="AB98" s="68">
        <f>+J98*tab!H$16</f>
        <v>0</v>
      </c>
      <c r="AC98" s="68">
        <f>+K98*tab!I$16</f>
        <v>0</v>
      </c>
      <c r="AD98" s="68">
        <f>+L98*tab!J$16</f>
        <v>0</v>
      </c>
      <c r="AE98" s="71"/>
      <c r="AF98" s="153">
        <v>0</v>
      </c>
      <c r="AG98" s="120">
        <f t="shared" si="27"/>
        <v>0</v>
      </c>
      <c r="AH98" s="120">
        <f t="shared" si="27"/>
        <v>0</v>
      </c>
      <c r="AI98" s="120">
        <f t="shared" si="27"/>
        <v>0</v>
      </c>
      <c r="AJ98" s="120">
        <f t="shared" si="27"/>
        <v>0</v>
      </c>
      <c r="AK98" s="92"/>
      <c r="AL98" s="134"/>
    </row>
    <row r="99" spans="2:38" s="113" customFormat="1" x14ac:dyDescent="0.2">
      <c r="B99" s="1073"/>
      <c r="C99" s="150"/>
      <c r="D99" s="50">
        <v>85</v>
      </c>
      <c r="E99" s="151" t="s">
        <v>338</v>
      </c>
      <c r="F99" s="923" t="s">
        <v>312</v>
      </c>
      <c r="G99" s="1088"/>
      <c r="H99" s="925">
        <v>0</v>
      </c>
      <c r="I99" s="119">
        <f t="shared" si="28"/>
        <v>0</v>
      </c>
      <c r="J99" s="119">
        <f t="shared" si="28"/>
        <v>0</v>
      </c>
      <c r="K99" s="119">
        <f t="shared" si="28"/>
        <v>0</v>
      </c>
      <c r="L99" s="119">
        <f t="shared" si="28"/>
        <v>0</v>
      </c>
      <c r="M99" s="71"/>
      <c r="N99" s="68">
        <f>H99*tab!F$15</f>
        <v>0</v>
      </c>
      <c r="O99" s="68">
        <f>I99*tab!G$15</f>
        <v>0</v>
      </c>
      <c r="P99" s="68">
        <f>J99*tab!H$15</f>
        <v>0</v>
      </c>
      <c r="Q99" s="68">
        <f>K99*tab!I$15</f>
        <v>0</v>
      </c>
      <c r="R99" s="68">
        <f>L99*tab!J$15</f>
        <v>0</v>
      </c>
      <c r="S99" s="71"/>
      <c r="T99" s="120">
        <v>0</v>
      </c>
      <c r="U99" s="120">
        <f t="shared" si="25"/>
        <v>0</v>
      </c>
      <c r="V99" s="120">
        <f t="shared" si="26"/>
        <v>0</v>
      </c>
      <c r="W99" s="120">
        <f t="shared" si="26"/>
        <v>0</v>
      </c>
      <c r="X99" s="120">
        <f t="shared" si="26"/>
        <v>0</v>
      </c>
      <c r="Y99" s="71"/>
      <c r="Z99" s="68">
        <f>+H99*tab!F$16</f>
        <v>0</v>
      </c>
      <c r="AA99" s="68">
        <f>+I99*tab!G$16</f>
        <v>0</v>
      </c>
      <c r="AB99" s="68">
        <f>+J99*tab!H$16</f>
        <v>0</v>
      </c>
      <c r="AC99" s="68">
        <f>+K99*tab!I$16</f>
        <v>0</v>
      </c>
      <c r="AD99" s="68">
        <f>+L99*tab!J$16</f>
        <v>0</v>
      </c>
      <c r="AE99" s="71"/>
      <c r="AF99" s="153">
        <v>0</v>
      </c>
      <c r="AG99" s="120">
        <f t="shared" si="27"/>
        <v>0</v>
      </c>
      <c r="AH99" s="120">
        <f t="shared" si="27"/>
        <v>0</v>
      </c>
      <c r="AI99" s="120">
        <f t="shared" si="27"/>
        <v>0</v>
      </c>
      <c r="AJ99" s="120">
        <f t="shared" si="27"/>
        <v>0</v>
      </c>
      <c r="AK99" s="92"/>
      <c r="AL99" s="134"/>
    </row>
    <row r="100" spans="2:38" s="113" customFormat="1" x14ac:dyDescent="0.2">
      <c r="B100" s="1073"/>
      <c r="C100" s="150"/>
      <c r="D100" s="50">
        <v>86</v>
      </c>
      <c r="E100" s="151" t="s">
        <v>339</v>
      </c>
      <c r="F100" s="923" t="s">
        <v>312</v>
      </c>
      <c r="G100" s="1088"/>
      <c r="H100" s="925">
        <v>0</v>
      </c>
      <c r="I100" s="119">
        <f t="shared" si="28"/>
        <v>0</v>
      </c>
      <c r="J100" s="119">
        <f t="shared" si="28"/>
        <v>0</v>
      </c>
      <c r="K100" s="119">
        <f t="shared" si="28"/>
        <v>0</v>
      </c>
      <c r="L100" s="119">
        <f t="shared" si="28"/>
        <v>0</v>
      </c>
      <c r="M100" s="71"/>
      <c r="N100" s="68">
        <f>H100*tab!F$15</f>
        <v>0</v>
      </c>
      <c r="O100" s="68">
        <f>I100*tab!G$15</f>
        <v>0</v>
      </c>
      <c r="P100" s="68">
        <f>J100*tab!H$15</f>
        <v>0</v>
      </c>
      <c r="Q100" s="68">
        <f>K100*tab!I$15</f>
        <v>0</v>
      </c>
      <c r="R100" s="68">
        <f>L100*tab!J$15</f>
        <v>0</v>
      </c>
      <c r="S100" s="71"/>
      <c r="T100" s="120">
        <v>0</v>
      </c>
      <c r="U100" s="120">
        <f t="shared" si="25"/>
        <v>0</v>
      </c>
      <c r="V100" s="120">
        <f t="shared" si="26"/>
        <v>0</v>
      </c>
      <c r="W100" s="120">
        <f t="shared" si="26"/>
        <v>0</v>
      </c>
      <c r="X100" s="120">
        <f t="shared" si="26"/>
        <v>0</v>
      </c>
      <c r="Y100" s="71"/>
      <c r="Z100" s="68">
        <f>+H100*tab!F$16</f>
        <v>0</v>
      </c>
      <c r="AA100" s="68">
        <f>+I100*tab!G$16</f>
        <v>0</v>
      </c>
      <c r="AB100" s="68">
        <f>+J100*tab!H$16</f>
        <v>0</v>
      </c>
      <c r="AC100" s="68">
        <f>+K100*tab!I$16</f>
        <v>0</v>
      </c>
      <c r="AD100" s="68">
        <f>+L100*tab!J$16</f>
        <v>0</v>
      </c>
      <c r="AE100" s="71"/>
      <c r="AF100" s="153">
        <v>0</v>
      </c>
      <c r="AG100" s="120">
        <f t="shared" si="27"/>
        <v>0</v>
      </c>
      <c r="AH100" s="120">
        <f t="shared" si="27"/>
        <v>0</v>
      </c>
      <c r="AI100" s="120">
        <f t="shared" si="27"/>
        <v>0</v>
      </c>
      <c r="AJ100" s="120">
        <f t="shared" si="27"/>
        <v>0</v>
      </c>
      <c r="AK100" s="92"/>
      <c r="AL100" s="134"/>
    </row>
    <row r="101" spans="2:38" s="113" customFormat="1" x14ac:dyDescent="0.2">
      <c r="B101" s="1073"/>
      <c r="C101" s="150"/>
      <c r="D101" s="50">
        <v>87</v>
      </c>
      <c r="E101" s="151" t="s">
        <v>340</v>
      </c>
      <c r="F101" s="923" t="s">
        <v>312</v>
      </c>
      <c r="G101" s="1088"/>
      <c r="H101" s="925">
        <v>0</v>
      </c>
      <c r="I101" s="119">
        <f t="shared" si="28"/>
        <v>0</v>
      </c>
      <c r="J101" s="119">
        <f t="shared" si="28"/>
        <v>0</v>
      </c>
      <c r="K101" s="119">
        <f t="shared" si="28"/>
        <v>0</v>
      </c>
      <c r="L101" s="119">
        <f t="shared" si="28"/>
        <v>0</v>
      </c>
      <c r="M101" s="71"/>
      <c r="N101" s="68">
        <f>H101*tab!F$15</f>
        <v>0</v>
      </c>
      <c r="O101" s="68">
        <f>I101*tab!G$15</f>
        <v>0</v>
      </c>
      <c r="P101" s="68">
        <f>J101*tab!H$15</f>
        <v>0</v>
      </c>
      <c r="Q101" s="68">
        <f>K101*tab!I$15</f>
        <v>0</v>
      </c>
      <c r="R101" s="68">
        <f>L101*tab!J$15</f>
        <v>0</v>
      </c>
      <c r="S101" s="71"/>
      <c r="T101" s="120">
        <v>0</v>
      </c>
      <c r="U101" s="120">
        <f t="shared" si="25"/>
        <v>0</v>
      </c>
      <c r="V101" s="120">
        <f t="shared" si="26"/>
        <v>0</v>
      </c>
      <c r="W101" s="120">
        <f t="shared" si="26"/>
        <v>0</v>
      </c>
      <c r="X101" s="120">
        <f t="shared" si="26"/>
        <v>0</v>
      </c>
      <c r="Y101" s="71"/>
      <c r="Z101" s="68">
        <f>+H101*tab!F$16</f>
        <v>0</v>
      </c>
      <c r="AA101" s="68">
        <f>+I101*tab!G$16</f>
        <v>0</v>
      </c>
      <c r="AB101" s="68">
        <f>+J101*tab!H$16</f>
        <v>0</v>
      </c>
      <c r="AC101" s="68">
        <f>+K101*tab!I$16</f>
        <v>0</v>
      </c>
      <c r="AD101" s="68">
        <f>+L101*tab!J$16</f>
        <v>0</v>
      </c>
      <c r="AE101" s="71"/>
      <c r="AF101" s="153">
        <v>0</v>
      </c>
      <c r="AG101" s="120">
        <f t="shared" si="27"/>
        <v>0</v>
      </c>
      <c r="AH101" s="120">
        <f t="shared" si="27"/>
        <v>0</v>
      </c>
      <c r="AI101" s="120">
        <f t="shared" si="27"/>
        <v>0</v>
      </c>
      <c r="AJ101" s="120">
        <f t="shared" si="27"/>
        <v>0</v>
      </c>
      <c r="AK101" s="92"/>
      <c r="AL101" s="134"/>
    </row>
    <row r="102" spans="2:38" s="113" customFormat="1" x14ac:dyDescent="0.2">
      <c r="B102" s="1073"/>
      <c r="C102" s="150"/>
      <c r="D102" s="50">
        <v>88</v>
      </c>
      <c r="E102" s="151" t="s">
        <v>341</v>
      </c>
      <c r="F102" s="923" t="s">
        <v>312</v>
      </c>
      <c r="G102" s="1088"/>
      <c r="H102" s="925">
        <v>0</v>
      </c>
      <c r="I102" s="119">
        <f t="shared" si="28"/>
        <v>0</v>
      </c>
      <c r="J102" s="119">
        <f t="shared" si="28"/>
        <v>0</v>
      </c>
      <c r="K102" s="119">
        <f t="shared" si="28"/>
        <v>0</v>
      </c>
      <c r="L102" s="119">
        <f t="shared" si="28"/>
        <v>0</v>
      </c>
      <c r="M102" s="71"/>
      <c r="N102" s="68">
        <f>H102*tab!F$15</f>
        <v>0</v>
      </c>
      <c r="O102" s="68">
        <f>I102*tab!G$15</f>
        <v>0</v>
      </c>
      <c r="P102" s="68">
        <f>J102*tab!H$15</f>
        <v>0</v>
      </c>
      <c r="Q102" s="68">
        <f>K102*tab!I$15</f>
        <v>0</v>
      </c>
      <c r="R102" s="68">
        <f>L102*tab!J$15</f>
        <v>0</v>
      </c>
      <c r="S102" s="71"/>
      <c r="T102" s="120">
        <v>0</v>
      </c>
      <c r="U102" s="120">
        <f t="shared" si="25"/>
        <v>0</v>
      </c>
      <c r="V102" s="120">
        <f t="shared" si="26"/>
        <v>0</v>
      </c>
      <c r="W102" s="120">
        <f t="shared" si="26"/>
        <v>0</v>
      </c>
      <c r="X102" s="120">
        <f t="shared" si="26"/>
        <v>0</v>
      </c>
      <c r="Y102" s="71"/>
      <c r="Z102" s="68">
        <f>+H102*tab!F$16</f>
        <v>0</v>
      </c>
      <c r="AA102" s="68">
        <f>+I102*tab!G$16</f>
        <v>0</v>
      </c>
      <c r="AB102" s="68">
        <f>+J102*tab!H$16</f>
        <v>0</v>
      </c>
      <c r="AC102" s="68">
        <f>+K102*tab!I$16</f>
        <v>0</v>
      </c>
      <c r="AD102" s="68">
        <f>+L102*tab!J$16</f>
        <v>0</v>
      </c>
      <c r="AE102" s="71"/>
      <c r="AF102" s="153">
        <v>0</v>
      </c>
      <c r="AG102" s="120">
        <f t="shared" si="27"/>
        <v>0</v>
      </c>
      <c r="AH102" s="120">
        <f t="shared" si="27"/>
        <v>0</v>
      </c>
      <c r="AI102" s="120">
        <f t="shared" si="27"/>
        <v>0</v>
      </c>
      <c r="AJ102" s="120">
        <f t="shared" si="27"/>
        <v>0</v>
      </c>
      <c r="AK102" s="92"/>
      <c r="AL102" s="134"/>
    </row>
    <row r="103" spans="2:38" s="113" customFormat="1" x14ac:dyDescent="0.2">
      <c r="B103" s="1073"/>
      <c r="C103" s="150"/>
      <c r="D103" s="50">
        <v>89</v>
      </c>
      <c r="E103" s="151" t="s">
        <v>342</v>
      </c>
      <c r="F103" s="923" t="s">
        <v>312</v>
      </c>
      <c r="G103" s="1088"/>
      <c r="H103" s="925">
        <v>0</v>
      </c>
      <c r="I103" s="119">
        <f t="shared" si="28"/>
        <v>0</v>
      </c>
      <c r="J103" s="119">
        <f t="shared" si="28"/>
        <v>0</v>
      </c>
      <c r="K103" s="119">
        <f t="shared" si="28"/>
        <v>0</v>
      </c>
      <c r="L103" s="119">
        <f t="shared" si="28"/>
        <v>0</v>
      </c>
      <c r="M103" s="71"/>
      <c r="N103" s="68">
        <f>H103*tab!F$15</f>
        <v>0</v>
      </c>
      <c r="O103" s="68">
        <f>I103*tab!G$15</f>
        <v>0</v>
      </c>
      <c r="P103" s="68">
        <f>J103*tab!H$15</f>
        <v>0</v>
      </c>
      <c r="Q103" s="68">
        <f>K103*tab!I$15</f>
        <v>0</v>
      </c>
      <c r="R103" s="68">
        <f>L103*tab!J$15</f>
        <v>0</v>
      </c>
      <c r="S103" s="71"/>
      <c r="T103" s="120">
        <v>0</v>
      </c>
      <c r="U103" s="120">
        <f t="shared" si="25"/>
        <v>0</v>
      </c>
      <c r="V103" s="120">
        <f t="shared" ref="V103:X122" si="29">U103</f>
        <v>0</v>
      </c>
      <c r="W103" s="120">
        <f t="shared" si="29"/>
        <v>0</v>
      </c>
      <c r="X103" s="120">
        <f t="shared" si="29"/>
        <v>0</v>
      </c>
      <c r="Y103" s="71"/>
      <c r="Z103" s="68">
        <f>+H103*tab!F$16</f>
        <v>0</v>
      </c>
      <c r="AA103" s="68">
        <f>+I103*tab!G$16</f>
        <v>0</v>
      </c>
      <c r="AB103" s="68">
        <f>+J103*tab!H$16</f>
        <v>0</v>
      </c>
      <c r="AC103" s="68">
        <f>+K103*tab!I$16</f>
        <v>0</v>
      </c>
      <c r="AD103" s="68">
        <f>+L103*tab!J$16</f>
        <v>0</v>
      </c>
      <c r="AE103" s="71"/>
      <c r="AF103" s="153">
        <v>0</v>
      </c>
      <c r="AG103" s="120">
        <f t="shared" si="27"/>
        <v>0</v>
      </c>
      <c r="AH103" s="120">
        <f t="shared" si="27"/>
        <v>0</v>
      </c>
      <c r="AI103" s="120">
        <f t="shared" si="27"/>
        <v>0</v>
      </c>
      <c r="AJ103" s="120">
        <f t="shared" si="27"/>
        <v>0</v>
      </c>
      <c r="AK103" s="92"/>
      <c r="AL103" s="134"/>
    </row>
    <row r="104" spans="2:38" s="113" customFormat="1" x14ac:dyDescent="0.2">
      <c r="B104" s="1073"/>
      <c r="C104" s="150"/>
      <c r="D104" s="50">
        <v>90</v>
      </c>
      <c r="E104" s="151" t="s">
        <v>343</v>
      </c>
      <c r="F104" s="923" t="s">
        <v>312</v>
      </c>
      <c r="G104" s="1088"/>
      <c r="H104" s="925">
        <v>0</v>
      </c>
      <c r="I104" s="119">
        <f t="shared" si="28"/>
        <v>0</v>
      </c>
      <c r="J104" s="119">
        <f t="shared" si="28"/>
        <v>0</v>
      </c>
      <c r="K104" s="119">
        <f t="shared" si="28"/>
        <v>0</v>
      </c>
      <c r="L104" s="119">
        <f t="shared" si="28"/>
        <v>0</v>
      </c>
      <c r="M104" s="71"/>
      <c r="N104" s="68">
        <f>H104*tab!F$15</f>
        <v>0</v>
      </c>
      <c r="O104" s="68">
        <f>I104*tab!G$15</f>
        <v>0</v>
      </c>
      <c r="P104" s="68">
        <f>J104*tab!H$15</f>
        <v>0</v>
      </c>
      <c r="Q104" s="68">
        <f>K104*tab!I$15</f>
        <v>0</v>
      </c>
      <c r="R104" s="68">
        <f>L104*tab!J$15</f>
        <v>0</v>
      </c>
      <c r="S104" s="71"/>
      <c r="T104" s="120">
        <v>0</v>
      </c>
      <c r="U104" s="120">
        <f t="shared" si="25"/>
        <v>0</v>
      </c>
      <c r="V104" s="120">
        <f t="shared" si="29"/>
        <v>0</v>
      </c>
      <c r="W104" s="120">
        <f t="shared" si="29"/>
        <v>0</v>
      </c>
      <c r="X104" s="120">
        <f t="shared" si="29"/>
        <v>0</v>
      </c>
      <c r="Y104" s="71"/>
      <c r="Z104" s="68">
        <f>+H104*tab!F$16</f>
        <v>0</v>
      </c>
      <c r="AA104" s="68">
        <f>+I104*tab!G$16</f>
        <v>0</v>
      </c>
      <c r="AB104" s="68">
        <f>+J104*tab!H$16</f>
        <v>0</v>
      </c>
      <c r="AC104" s="68">
        <f>+K104*tab!I$16</f>
        <v>0</v>
      </c>
      <c r="AD104" s="68">
        <f>+L104*tab!J$16</f>
        <v>0</v>
      </c>
      <c r="AE104" s="71"/>
      <c r="AF104" s="153">
        <v>0</v>
      </c>
      <c r="AG104" s="120">
        <f t="shared" si="27"/>
        <v>0</v>
      </c>
      <c r="AH104" s="120">
        <f t="shared" si="27"/>
        <v>0</v>
      </c>
      <c r="AI104" s="120">
        <f t="shared" si="27"/>
        <v>0</v>
      </c>
      <c r="AJ104" s="120">
        <f t="shared" si="27"/>
        <v>0</v>
      </c>
      <c r="AK104" s="92"/>
      <c r="AL104" s="134"/>
    </row>
    <row r="105" spans="2:38" s="113" customFormat="1" x14ac:dyDescent="0.2">
      <c r="B105" s="1073"/>
      <c r="C105" s="150"/>
      <c r="D105" s="50">
        <v>91</v>
      </c>
      <c r="E105" s="151" t="s">
        <v>344</v>
      </c>
      <c r="F105" s="923" t="s">
        <v>312</v>
      </c>
      <c r="G105" s="1088"/>
      <c r="H105" s="925">
        <v>0</v>
      </c>
      <c r="I105" s="119">
        <f t="shared" si="28"/>
        <v>0</v>
      </c>
      <c r="J105" s="119">
        <f t="shared" si="28"/>
        <v>0</v>
      </c>
      <c r="K105" s="119">
        <f t="shared" si="28"/>
        <v>0</v>
      </c>
      <c r="L105" s="119">
        <f t="shared" si="28"/>
        <v>0</v>
      </c>
      <c r="M105" s="71"/>
      <c r="N105" s="68">
        <f>H105*tab!F$15</f>
        <v>0</v>
      </c>
      <c r="O105" s="68">
        <f>I105*tab!G$15</f>
        <v>0</v>
      </c>
      <c r="P105" s="68">
        <f>J105*tab!H$15</f>
        <v>0</v>
      </c>
      <c r="Q105" s="68">
        <f>K105*tab!I$15</f>
        <v>0</v>
      </c>
      <c r="R105" s="68">
        <f>L105*tab!J$15</f>
        <v>0</v>
      </c>
      <c r="S105" s="71"/>
      <c r="T105" s="120">
        <v>0</v>
      </c>
      <c r="U105" s="120">
        <f t="shared" si="25"/>
        <v>0</v>
      </c>
      <c r="V105" s="120">
        <f t="shared" si="29"/>
        <v>0</v>
      </c>
      <c r="W105" s="120">
        <f t="shared" si="29"/>
        <v>0</v>
      </c>
      <c r="X105" s="120">
        <f t="shared" si="29"/>
        <v>0</v>
      </c>
      <c r="Y105" s="71"/>
      <c r="Z105" s="68">
        <f>+H105*tab!F$16</f>
        <v>0</v>
      </c>
      <c r="AA105" s="68">
        <f>+I105*tab!G$16</f>
        <v>0</v>
      </c>
      <c r="AB105" s="68">
        <f>+J105*tab!H$16</f>
        <v>0</v>
      </c>
      <c r="AC105" s="68">
        <f>+K105*tab!I$16</f>
        <v>0</v>
      </c>
      <c r="AD105" s="68">
        <f>+L105*tab!J$16</f>
        <v>0</v>
      </c>
      <c r="AE105" s="71"/>
      <c r="AF105" s="153">
        <v>0</v>
      </c>
      <c r="AG105" s="120">
        <f t="shared" si="27"/>
        <v>0</v>
      </c>
      <c r="AH105" s="120">
        <f t="shared" si="27"/>
        <v>0</v>
      </c>
      <c r="AI105" s="120">
        <f t="shared" si="27"/>
        <v>0</v>
      </c>
      <c r="AJ105" s="120">
        <f t="shared" si="27"/>
        <v>0</v>
      </c>
      <c r="AK105" s="92"/>
      <c r="AL105" s="134"/>
    </row>
    <row r="106" spans="2:38" s="113" customFormat="1" x14ac:dyDescent="0.2">
      <c r="B106" s="1073"/>
      <c r="C106" s="150"/>
      <c r="D106" s="50">
        <v>92</v>
      </c>
      <c r="E106" s="151" t="s">
        <v>345</v>
      </c>
      <c r="F106" s="923" t="s">
        <v>312</v>
      </c>
      <c r="G106" s="1088"/>
      <c r="H106" s="925">
        <v>0</v>
      </c>
      <c r="I106" s="119">
        <f t="shared" si="28"/>
        <v>0</v>
      </c>
      <c r="J106" s="119">
        <f t="shared" si="28"/>
        <v>0</v>
      </c>
      <c r="K106" s="119">
        <f t="shared" si="28"/>
        <v>0</v>
      </c>
      <c r="L106" s="119">
        <f t="shared" si="28"/>
        <v>0</v>
      </c>
      <c r="M106" s="71"/>
      <c r="N106" s="68">
        <f>H106*tab!F$15</f>
        <v>0</v>
      </c>
      <c r="O106" s="68">
        <f>I106*tab!G$15</f>
        <v>0</v>
      </c>
      <c r="P106" s="68">
        <f>J106*tab!H$15</f>
        <v>0</v>
      </c>
      <c r="Q106" s="68">
        <f>K106*tab!I$15</f>
        <v>0</v>
      </c>
      <c r="R106" s="68">
        <f>L106*tab!J$15</f>
        <v>0</v>
      </c>
      <c r="S106" s="71"/>
      <c r="T106" s="120">
        <v>0</v>
      </c>
      <c r="U106" s="120">
        <f t="shared" si="25"/>
        <v>0</v>
      </c>
      <c r="V106" s="120">
        <f t="shared" si="29"/>
        <v>0</v>
      </c>
      <c r="W106" s="120">
        <f t="shared" si="29"/>
        <v>0</v>
      </c>
      <c r="X106" s="120">
        <f t="shared" si="29"/>
        <v>0</v>
      </c>
      <c r="Y106" s="71"/>
      <c r="Z106" s="68">
        <f>+H106*tab!F$16</f>
        <v>0</v>
      </c>
      <c r="AA106" s="68">
        <f>+I106*tab!G$16</f>
        <v>0</v>
      </c>
      <c r="AB106" s="68">
        <f>+J106*tab!H$16</f>
        <v>0</v>
      </c>
      <c r="AC106" s="68">
        <f>+K106*tab!I$16</f>
        <v>0</v>
      </c>
      <c r="AD106" s="68">
        <f>+L106*tab!J$16</f>
        <v>0</v>
      </c>
      <c r="AE106" s="71"/>
      <c r="AF106" s="153">
        <v>0</v>
      </c>
      <c r="AG106" s="120">
        <f t="shared" si="27"/>
        <v>0</v>
      </c>
      <c r="AH106" s="120">
        <f t="shared" si="27"/>
        <v>0</v>
      </c>
      <c r="AI106" s="120">
        <f t="shared" si="27"/>
        <v>0</v>
      </c>
      <c r="AJ106" s="120">
        <f t="shared" si="27"/>
        <v>0</v>
      </c>
      <c r="AK106" s="92"/>
      <c r="AL106" s="134"/>
    </row>
    <row r="107" spans="2:38" s="113" customFormat="1" x14ac:dyDescent="0.2">
      <c r="B107" s="1073"/>
      <c r="C107" s="150"/>
      <c r="D107" s="50">
        <v>93</v>
      </c>
      <c r="E107" s="151" t="s">
        <v>346</v>
      </c>
      <c r="F107" s="923" t="s">
        <v>312</v>
      </c>
      <c r="G107" s="1088"/>
      <c r="H107" s="925">
        <v>0</v>
      </c>
      <c r="I107" s="119">
        <f t="shared" si="28"/>
        <v>0</v>
      </c>
      <c r="J107" s="119">
        <f t="shared" si="28"/>
        <v>0</v>
      </c>
      <c r="K107" s="119">
        <f t="shared" si="28"/>
        <v>0</v>
      </c>
      <c r="L107" s="119">
        <f t="shared" si="28"/>
        <v>0</v>
      </c>
      <c r="M107" s="71"/>
      <c r="N107" s="68">
        <f>H107*tab!F$15</f>
        <v>0</v>
      </c>
      <c r="O107" s="68">
        <f>I107*tab!G$15</f>
        <v>0</v>
      </c>
      <c r="P107" s="68">
        <f>J107*tab!H$15</f>
        <v>0</v>
      </c>
      <c r="Q107" s="68">
        <f>K107*tab!I$15</f>
        <v>0</v>
      </c>
      <c r="R107" s="68">
        <f>L107*tab!J$15</f>
        <v>0</v>
      </c>
      <c r="S107" s="71"/>
      <c r="T107" s="120">
        <v>0</v>
      </c>
      <c r="U107" s="120">
        <f t="shared" si="25"/>
        <v>0</v>
      </c>
      <c r="V107" s="120">
        <f t="shared" si="29"/>
        <v>0</v>
      </c>
      <c r="W107" s="120">
        <f t="shared" si="29"/>
        <v>0</v>
      </c>
      <c r="X107" s="120">
        <f t="shared" si="29"/>
        <v>0</v>
      </c>
      <c r="Y107" s="71"/>
      <c r="Z107" s="68">
        <f>+H107*tab!F$16</f>
        <v>0</v>
      </c>
      <c r="AA107" s="68">
        <f>+I107*tab!G$16</f>
        <v>0</v>
      </c>
      <c r="AB107" s="68">
        <f>+J107*tab!H$16</f>
        <v>0</v>
      </c>
      <c r="AC107" s="68">
        <f>+K107*tab!I$16</f>
        <v>0</v>
      </c>
      <c r="AD107" s="68">
        <f>+L107*tab!J$16</f>
        <v>0</v>
      </c>
      <c r="AE107" s="71"/>
      <c r="AF107" s="153">
        <v>0</v>
      </c>
      <c r="AG107" s="120">
        <f t="shared" si="27"/>
        <v>0</v>
      </c>
      <c r="AH107" s="120">
        <f t="shared" si="27"/>
        <v>0</v>
      </c>
      <c r="AI107" s="120">
        <f t="shared" si="27"/>
        <v>0</v>
      </c>
      <c r="AJ107" s="120">
        <f t="shared" si="27"/>
        <v>0</v>
      </c>
      <c r="AK107" s="92"/>
      <c r="AL107" s="134"/>
    </row>
    <row r="108" spans="2:38" s="113" customFormat="1" x14ac:dyDescent="0.2">
      <c r="B108" s="1073"/>
      <c r="C108" s="150"/>
      <c r="D108" s="50">
        <v>94</v>
      </c>
      <c r="E108" s="151" t="s">
        <v>347</v>
      </c>
      <c r="F108" s="923" t="s">
        <v>312</v>
      </c>
      <c r="G108" s="1088"/>
      <c r="H108" s="925">
        <v>0</v>
      </c>
      <c r="I108" s="119">
        <f t="shared" si="28"/>
        <v>0</v>
      </c>
      <c r="J108" s="119">
        <f t="shared" si="28"/>
        <v>0</v>
      </c>
      <c r="K108" s="119">
        <f t="shared" si="28"/>
        <v>0</v>
      </c>
      <c r="L108" s="119">
        <f t="shared" si="28"/>
        <v>0</v>
      </c>
      <c r="M108" s="71"/>
      <c r="N108" s="68">
        <f>H108*tab!F$15</f>
        <v>0</v>
      </c>
      <c r="O108" s="68">
        <f>I108*tab!G$15</f>
        <v>0</v>
      </c>
      <c r="P108" s="68">
        <f>J108*tab!H$15</f>
        <v>0</v>
      </c>
      <c r="Q108" s="68">
        <f>K108*tab!I$15</f>
        <v>0</v>
      </c>
      <c r="R108" s="68">
        <f>L108*tab!J$15</f>
        <v>0</v>
      </c>
      <c r="S108" s="71"/>
      <c r="T108" s="120">
        <v>0</v>
      </c>
      <c r="U108" s="120">
        <f t="shared" si="25"/>
        <v>0</v>
      </c>
      <c r="V108" s="120">
        <f t="shared" si="29"/>
        <v>0</v>
      </c>
      <c r="W108" s="120">
        <f t="shared" si="29"/>
        <v>0</v>
      </c>
      <c r="X108" s="120">
        <f t="shared" si="29"/>
        <v>0</v>
      </c>
      <c r="Y108" s="71"/>
      <c r="Z108" s="68">
        <f>+H108*tab!F$16</f>
        <v>0</v>
      </c>
      <c r="AA108" s="68">
        <f>+I108*tab!G$16</f>
        <v>0</v>
      </c>
      <c r="AB108" s="68">
        <f>+J108*tab!H$16</f>
        <v>0</v>
      </c>
      <c r="AC108" s="68">
        <f>+K108*tab!I$16</f>
        <v>0</v>
      </c>
      <c r="AD108" s="68">
        <f>+L108*tab!J$16</f>
        <v>0</v>
      </c>
      <c r="AE108" s="71"/>
      <c r="AF108" s="153">
        <v>0</v>
      </c>
      <c r="AG108" s="120">
        <f t="shared" ref="AG108:AJ127" si="30">AF108</f>
        <v>0</v>
      </c>
      <c r="AH108" s="120">
        <f t="shared" si="30"/>
        <v>0</v>
      </c>
      <c r="AI108" s="120">
        <f t="shared" si="30"/>
        <v>0</v>
      </c>
      <c r="AJ108" s="120">
        <f t="shared" si="30"/>
        <v>0</v>
      </c>
      <c r="AK108" s="92"/>
      <c r="AL108" s="134"/>
    </row>
    <row r="109" spans="2:38" s="113" customFormat="1" x14ac:dyDescent="0.2">
      <c r="B109" s="1073"/>
      <c r="C109" s="150"/>
      <c r="D109" s="50">
        <v>95</v>
      </c>
      <c r="E109" s="151" t="s">
        <v>348</v>
      </c>
      <c r="F109" s="923" t="s">
        <v>312</v>
      </c>
      <c r="G109" s="1088"/>
      <c r="H109" s="925">
        <v>0</v>
      </c>
      <c r="I109" s="119">
        <f t="shared" si="28"/>
        <v>0</v>
      </c>
      <c r="J109" s="119">
        <f t="shared" si="28"/>
        <v>0</v>
      </c>
      <c r="K109" s="119">
        <f t="shared" si="28"/>
        <v>0</v>
      </c>
      <c r="L109" s="119">
        <f t="shared" si="28"/>
        <v>0</v>
      </c>
      <c r="M109" s="71"/>
      <c r="N109" s="68">
        <f>H109*tab!F$15</f>
        <v>0</v>
      </c>
      <c r="O109" s="68">
        <f>I109*tab!G$15</f>
        <v>0</v>
      </c>
      <c r="P109" s="68">
        <f>J109*tab!H$15</f>
        <v>0</v>
      </c>
      <c r="Q109" s="68">
        <f>K109*tab!I$15</f>
        <v>0</v>
      </c>
      <c r="R109" s="68">
        <f>L109*tab!J$15</f>
        <v>0</v>
      </c>
      <c r="S109" s="71"/>
      <c r="T109" s="120">
        <v>0</v>
      </c>
      <c r="U109" s="120">
        <f t="shared" si="25"/>
        <v>0</v>
      </c>
      <c r="V109" s="120">
        <f t="shared" si="29"/>
        <v>0</v>
      </c>
      <c r="W109" s="120">
        <f t="shared" si="29"/>
        <v>0</v>
      </c>
      <c r="X109" s="120">
        <f t="shared" si="29"/>
        <v>0</v>
      </c>
      <c r="Y109" s="71"/>
      <c r="Z109" s="68">
        <f>+H109*tab!F$16</f>
        <v>0</v>
      </c>
      <c r="AA109" s="68">
        <f>+I109*tab!G$16</f>
        <v>0</v>
      </c>
      <c r="AB109" s="68">
        <f>+J109*tab!H$16</f>
        <v>0</v>
      </c>
      <c r="AC109" s="68">
        <f>+K109*tab!I$16</f>
        <v>0</v>
      </c>
      <c r="AD109" s="68">
        <f>+L109*tab!J$16</f>
        <v>0</v>
      </c>
      <c r="AE109" s="71"/>
      <c r="AF109" s="153">
        <v>0</v>
      </c>
      <c r="AG109" s="120">
        <f t="shared" si="30"/>
        <v>0</v>
      </c>
      <c r="AH109" s="120">
        <f t="shared" si="30"/>
        <v>0</v>
      </c>
      <c r="AI109" s="120">
        <f t="shared" si="30"/>
        <v>0</v>
      </c>
      <c r="AJ109" s="120">
        <f t="shared" si="30"/>
        <v>0</v>
      </c>
      <c r="AK109" s="92"/>
      <c r="AL109" s="134"/>
    </row>
    <row r="110" spans="2:38" s="113" customFormat="1" x14ac:dyDescent="0.2">
      <c r="B110" s="1073"/>
      <c r="C110" s="150"/>
      <c r="D110" s="50">
        <v>96</v>
      </c>
      <c r="E110" s="151" t="s">
        <v>349</v>
      </c>
      <c r="F110" s="923" t="s">
        <v>312</v>
      </c>
      <c r="G110" s="1088"/>
      <c r="H110" s="925">
        <v>0</v>
      </c>
      <c r="I110" s="119">
        <f t="shared" si="28"/>
        <v>0</v>
      </c>
      <c r="J110" s="119">
        <f t="shared" si="28"/>
        <v>0</v>
      </c>
      <c r="K110" s="119">
        <f t="shared" si="28"/>
        <v>0</v>
      </c>
      <c r="L110" s="119">
        <f t="shared" si="28"/>
        <v>0</v>
      </c>
      <c r="M110" s="71"/>
      <c r="N110" s="68">
        <f>H110*tab!F$15</f>
        <v>0</v>
      </c>
      <c r="O110" s="68">
        <f>I110*tab!G$15</f>
        <v>0</v>
      </c>
      <c r="P110" s="68">
        <f>J110*tab!H$15</f>
        <v>0</v>
      </c>
      <c r="Q110" s="68">
        <f>K110*tab!I$15</f>
        <v>0</v>
      </c>
      <c r="R110" s="68">
        <f>L110*tab!J$15</f>
        <v>0</v>
      </c>
      <c r="S110" s="71"/>
      <c r="T110" s="120">
        <v>0</v>
      </c>
      <c r="U110" s="120">
        <f t="shared" si="25"/>
        <v>0</v>
      </c>
      <c r="V110" s="120">
        <f t="shared" si="29"/>
        <v>0</v>
      </c>
      <c r="W110" s="120">
        <f t="shared" si="29"/>
        <v>0</v>
      </c>
      <c r="X110" s="120">
        <f t="shared" si="29"/>
        <v>0</v>
      </c>
      <c r="Y110" s="71"/>
      <c r="Z110" s="68">
        <f>+H110*tab!F$16</f>
        <v>0</v>
      </c>
      <c r="AA110" s="68">
        <f>+I110*tab!G$16</f>
        <v>0</v>
      </c>
      <c r="AB110" s="68">
        <f>+J110*tab!H$16</f>
        <v>0</v>
      </c>
      <c r="AC110" s="68">
        <f>+K110*tab!I$16</f>
        <v>0</v>
      </c>
      <c r="AD110" s="68">
        <f>+L110*tab!J$16</f>
        <v>0</v>
      </c>
      <c r="AE110" s="71"/>
      <c r="AF110" s="153">
        <v>0</v>
      </c>
      <c r="AG110" s="120">
        <f t="shared" si="30"/>
        <v>0</v>
      </c>
      <c r="AH110" s="120">
        <f t="shared" si="30"/>
        <v>0</v>
      </c>
      <c r="AI110" s="120">
        <f t="shared" si="30"/>
        <v>0</v>
      </c>
      <c r="AJ110" s="120">
        <f t="shared" si="30"/>
        <v>0</v>
      </c>
      <c r="AK110" s="92"/>
      <c r="AL110" s="134"/>
    </row>
    <row r="111" spans="2:38" s="113" customFormat="1" x14ac:dyDescent="0.2">
      <c r="B111" s="1073"/>
      <c r="C111" s="150"/>
      <c r="D111" s="50">
        <v>97</v>
      </c>
      <c r="E111" s="151" t="s">
        <v>350</v>
      </c>
      <c r="F111" s="923" t="s">
        <v>312</v>
      </c>
      <c r="G111" s="1088"/>
      <c r="H111" s="925">
        <v>0</v>
      </c>
      <c r="I111" s="119">
        <f t="shared" si="28"/>
        <v>0</v>
      </c>
      <c r="J111" s="119">
        <f t="shared" si="28"/>
        <v>0</v>
      </c>
      <c r="K111" s="119">
        <f t="shared" si="28"/>
        <v>0</v>
      </c>
      <c r="L111" s="119">
        <f t="shared" si="28"/>
        <v>0</v>
      </c>
      <c r="M111" s="71"/>
      <c r="N111" s="68">
        <f>H111*tab!F$15</f>
        <v>0</v>
      </c>
      <c r="O111" s="68">
        <f>I111*tab!G$15</f>
        <v>0</v>
      </c>
      <c r="P111" s="68">
        <f>J111*tab!H$15</f>
        <v>0</v>
      </c>
      <c r="Q111" s="68">
        <f>K111*tab!I$15</f>
        <v>0</v>
      </c>
      <c r="R111" s="68">
        <f>L111*tab!J$15</f>
        <v>0</v>
      </c>
      <c r="S111" s="71"/>
      <c r="T111" s="120">
        <v>0</v>
      </c>
      <c r="U111" s="120">
        <f t="shared" si="25"/>
        <v>0</v>
      </c>
      <c r="V111" s="120">
        <f t="shared" si="29"/>
        <v>0</v>
      </c>
      <c r="W111" s="120">
        <f t="shared" si="29"/>
        <v>0</v>
      </c>
      <c r="X111" s="120">
        <f t="shared" si="29"/>
        <v>0</v>
      </c>
      <c r="Y111" s="71"/>
      <c r="Z111" s="68">
        <f>+H111*tab!F$16</f>
        <v>0</v>
      </c>
      <c r="AA111" s="68">
        <f>+I111*tab!G$16</f>
        <v>0</v>
      </c>
      <c r="AB111" s="68">
        <f>+J111*tab!H$16</f>
        <v>0</v>
      </c>
      <c r="AC111" s="68">
        <f>+K111*tab!I$16</f>
        <v>0</v>
      </c>
      <c r="AD111" s="68">
        <f>+L111*tab!J$16</f>
        <v>0</v>
      </c>
      <c r="AE111" s="71"/>
      <c r="AF111" s="153">
        <v>0</v>
      </c>
      <c r="AG111" s="120">
        <f t="shared" si="30"/>
        <v>0</v>
      </c>
      <c r="AH111" s="120">
        <f t="shared" si="30"/>
        <v>0</v>
      </c>
      <c r="AI111" s="120">
        <f t="shared" si="30"/>
        <v>0</v>
      </c>
      <c r="AJ111" s="120">
        <f t="shared" si="30"/>
        <v>0</v>
      </c>
      <c r="AK111" s="92"/>
      <c r="AL111" s="134"/>
    </row>
    <row r="112" spans="2:38" s="113" customFormat="1" x14ac:dyDescent="0.2">
      <c r="B112" s="1073"/>
      <c r="C112" s="150"/>
      <c r="D112" s="50">
        <v>98</v>
      </c>
      <c r="E112" s="151" t="s">
        <v>351</v>
      </c>
      <c r="F112" s="923" t="s">
        <v>312</v>
      </c>
      <c r="G112" s="1088"/>
      <c r="H112" s="925">
        <v>0</v>
      </c>
      <c r="I112" s="119">
        <f t="shared" si="28"/>
        <v>0</v>
      </c>
      <c r="J112" s="119">
        <f t="shared" si="28"/>
        <v>0</v>
      </c>
      <c r="K112" s="119">
        <f t="shared" si="28"/>
        <v>0</v>
      </c>
      <c r="L112" s="119">
        <f t="shared" si="28"/>
        <v>0</v>
      </c>
      <c r="M112" s="71"/>
      <c r="N112" s="68">
        <f>H112*tab!F$15</f>
        <v>0</v>
      </c>
      <c r="O112" s="68">
        <f>I112*tab!G$15</f>
        <v>0</v>
      </c>
      <c r="P112" s="68">
        <f>J112*tab!H$15</f>
        <v>0</v>
      </c>
      <c r="Q112" s="68">
        <f>K112*tab!I$15</f>
        <v>0</v>
      </c>
      <c r="R112" s="68">
        <f>L112*tab!J$15</f>
        <v>0</v>
      </c>
      <c r="S112" s="71"/>
      <c r="T112" s="120">
        <v>0</v>
      </c>
      <c r="U112" s="120">
        <f t="shared" ref="U112:U139" si="31">T112</f>
        <v>0</v>
      </c>
      <c r="V112" s="120">
        <f t="shared" si="29"/>
        <v>0</v>
      </c>
      <c r="W112" s="120">
        <f t="shared" si="29"/>
        <v>0</v>
      </c>
      <c r="X112" s="120">
        <f t="shared" si="29"/>
        <v>0</v>
      </c>
      <c r="Y112" s="71"/>
      <c r="Z112" s="68">
        <f>+H112*tab!F$16</f>
        <v>0</v>
      </c>
      <c r="AA112" s="68">
        <f>+I112*tab!G$16</f>
        <v>0</v>
      </c>
      <c r="AB112" s="68">
        <f>+J112*tab!H$16</f>
        <v>0</v>
      </c>
      <c r="AC112" s="68">
        <f>+K112*tab!I$16</f>
        <v>0</v>
      </c>
      <c r="AD112" s="68">
        <f>+L112*tab!J$16</f>
        <v>0</v>
      </c>
      <c r="AE112" s="71"/>
      <c r="AF112" s="153">
        <v>0</v>
      </c>
      <c r="AG112" s="120">
        <f t="shared" si="30"/>
        <v>0</v>
      </c>
      <c r="AH112" s="120">
        <f t="shared" si="30"/>
        <v>0</v>
      </c>
      <c r="AI112" s="120">
        <f t="shared" si="30"/>
        <v>0</v>
      </c>
      <c r="AJ112" s="120">
        <f t="shared" si="30"/>
        <v>0</v>
      </c>
      <c r="AK112" s="92"/>
      <c r="AL112" s="134"/>
    </row>
    <row r="113" spans="2:38" s="113" customFormat="1" x14ac:dyDescent="0.2">
      <c r="B113" s="1073"/>
      <c r="C113" s="150"/>
      <c r="D113" s="50">
        <v>99</v>
      </c>
      <c r="E113" s="151" t="s">
        <v>352</v>
      </c>
      <c r="F113" s="923" t="s">
        <v>312</v>
      </c>
      <c r="G113" s="1088"/>
      <c r="H113" s="925">
        <v>0</v>
      </c>
      <c r="I113" s="119">
        <f t="shared" si="28"/>
        <v>0</v>
      </c>
      <c r="J113" s="119">
        <f t="shared" si="28"/>
        <v>0</v>
      </c>
      <c r="K113" s="119">
        <f t="shared" si="28"/>
        <v>0</v>
      </c>
      <c r="L113" s="119">
        <f t="shared" si="28"/>
        <v>0</v>
      </c>
      <c r="M113" s="71"/>
      <c r="N113" s="68">
        <f>H113*tab!F$15</f>
        <v>0</v>
      </c>
      <c r="O113" s="68">
        <f>I113*tab!G$15</f>
        <v>0</v>
      </c>
      <c r="P113" s="68">
        <f>J113*tab!H$15</f>
        <v>0</v>
      </c>
      <c r="Q113" s="68">
        <f>K113*tab!I$15</f>
        <v>0</v>
      </c>
      <c r="R113" s="68">
        <f>L113*tab!J$15</f>
        <v>0</v>
      </c>
      <c r="S113" s="71"/>
      <c r="T113" s="120">
        <v>0</v>
      </c>
      <c r="U113" s="120">
        <f t="shared" si="31"/>
        <v>0</v>
      </c>
      <c r="V113" s="120">
        <f t="shared" si="29"/>
        <v>0</v>
      </c>
      <c r="W113" s="120">
        <f t="shared" si="29"/>
        <v>0</v>
      </c>
      <c r="X113" s="120">
        <f t="shared" si="29"/>
        <v>0</v>
      </c>
      <c r="Y113" s="71"/>
      <c r="Z113" s="68">
        <f>+H113*tab!F$16</f>
        <v>0</v>
      </c>
      <c r="AA113" s="68">
        <f>+I113*tab!G$16</f>
        <v>0</v>
      </c>
      <c r="AB113" s="68">
        <f>+J113*tab!H$16</f>
        <v>0</v>
      </c>
      <c r="AC113" s="68">
        <f>+K113*tab!I$16</f>
        <v>0</v>
      </c>
      <c r="AD113" s="68">
        <f>+L113*tab!J$16</f>
        <v>0</v>
      </c>
      <c r="AE113" s="71"/>
      <c r="AF113" s="153">
        <v>0</v>
      </c>
      <c r="AG113" s="120">
        <f t="shared" si="30"/>
        <v>0</v>
      </c>
      <c r="AH113" s="120">
        <f t="shared" si="30"/>
        <v>0</v>
      </c>
      <c r="AI113" s="120">
        <f t="shared" si="30"/>
        <v>0</v>
      </c>
      <c r="AJ113" s="120">
        <f t="shared" si="30"/>
        <v>0</v>
      </c>
      <c r="AK113" s="92"/>
      <c r="AL113" s="134"/>
    </row>
    <row r="114" spans="2:38" s="113" customFormat="1" x14ac:dyDescent="0.2">
      <c r="B114" s="1073"/>
      <c r="C114" s="150"/>
      <c r="D114" s="50">
        <v>100</v>
      </c>
      <c r="E114" s="151" t="s">
        <v>353</v>
      </c>
      <c r="F114" s="923" t="s">
        <v>312</v>
      </c>
      <c r="G114" s="1088"/>
      <c r="H114" s="925">
        <v>0</v>
      </c>
      <c r="I114" s="119">
        <f t="shared" si="28"/>
        <v>0</v>
      </c>
      <c r="J114" s="119">
        <f t="shared" si="28"/>
        <v>0</v>
      </c>
      <c r="K114" s="119">
        <f t="shared" si="28"/>
        <v>0</v>
      </c>
      <c r="L114" s="119">
        <f t="shared" si="28"/>
        <v>0</v>
      </c>
      <c r="M114" s="71"/>
      <c r="N114" s="68">
        <f>H114*tab!F$15</f>
        <v>0</v>
      </c>
      <c r="O114" s="68">
        <f>I114*tab!G$15</f>
        <v>0</v>
      </c>
      <c r="P114" s="68">
        <f>J114*tab!H$15</f>
        <v>0</v>
      </c>
      <c r="Q114" s="68">
        <f>K114*tab!I$15</f>
        <v>0</v>
      </c>
      <c r="R114" s="68">
        <f>L114*tab!J$15</f>
        <v>0</v>
      </c>
      <c r="S114" s="71"/>
      <c r="T114" s="120">
        <v>0</v>
      </c>
      <c r="U114" s="120">
        <f t="shared" si="31"/>
        <v>0</v>
      </c>
      <c r="V114" s="120">
        <f t="shared" si="29"/>
        <v>0</v>
      </c>
      <c r="W114" s="120">
        <f t="shared" si="29"/>
        <v>0</v>
      </c>
      <c r="X114" s="120">
        <f t="shared" si="29"/>
        <v>0</v>
      </c>
      <c r="Y114" s="71"/>
      <c r="Z114" s="68">
        <f>+H114*tab!F$16</f>
        <v>0</v>
      </c>
      <c r="AA114" s="68">
        <f>+I114*tab!G$16</f>
        <v>0</v>
      </c>
      <c r="AB114" s="68">
        <f>+J114*tab!H$16</f>
        <v>0</v>
      </c>
      <c r="AC114" s="68">
        <f>+K114*tab!I$16</f>
        <v>0</v>
      </c>
      <c r="AD114" s="68">
        <f>+L114*tab!J$16</f>
        <v>0</v>
      </c>
      <c r="AE114" s="71"/>
      <c r="AF114" s="153">
        <v>0</v>
      </c>
      <c r="AG114" s="120">
        <f t="shared" si="30"/>
        <v>0</v>
      </c>
      <c r="AH114" s="120">
        <f t="shared" si="30"/>
        <v>0</v>
      </c>
      <c r="AI114" s="120">
        <f t="shared" si="30"/>
        <v>0</v>
      </c>
      <c r="AJ114" s="120">
        <f t="shared" si="30"/>
        <v>0</v>
      </c>
      <c r="AK114" s="92"/>
      <c r="AL114" s="134"/>
    </row>
    <row r="115" spans="2:38" s="113" customFormat="1" x14ac:dyDescent="0.2">
      <c r="B115" s="1073"/>
      <c r="C115" s="150"/>
      <c r="D115" s="50">
        <v>101</v>
      </c>
      <c r="E115" s="151" t="s">
        <v>354</v>
      </c>
      <c r="F115" s="923" t="s">
        <v>312</v>
      </c>
      <c r="G115" s="1088"/>
      <c r="H115" s="925">
        <v>0</v>
      </c>
      <c r="I115" s="119">
        <f t="shared" si="28"/>
        <v>0</v>
      </c>
      <c r="J115" s="119">
        <f t="shared" si="28"/>
        <v>0</v>
      </c>
      <c r="K115" s="119">
        <f t="shared" si="28"/>
        <v>0</v>
      </c>
      <c r="L115" s="119">
        <f t="shared" si="28"/>
        <v>0</v>
      </c>
      <c r="M115" s="71"/>
      <c r="N115" s="68">
        <f>H115*tab!F$15</f>
        <v>0</v>
      </c>
      <c r="O115" s="68">
        <f>I115*tab!G$15</f>
        <v>0</v>
      </c>
      <c r="P115" s="68">
        <f>J115*tab!H$15</f>
        <v>0</v>
      </c>
      <c r="Q115" s="68">
        <f>K115*tab!I$15</f>
        <v>0</v>
      </c>
      <c r="R115" s="68">
        <f>L115*tab!J$15</f>
        <v>0</v>
      </c>
      <c r="S115" s="71"/>
      <c r="T115" s="120">
        <v>0</v>
      </c>
      <c r="U115" s="120">
        <f t="shared" si="31"/>
        <v>0</v>
      </c>
      <c r="V115" s="120">
        <f t="shared" si="29"/>
        <v>0</v>
      </c>
      <c r="W115" s="120">
        <f t="shared" si="29"/>
        <v>0</v>
      </c>
      <c r="X115" s="120">
        <f t="shared" si="29"/>
        <v>0</v>
      </c>
      <c r="Y115" s="71"/>
      <c r="Z115" s="68">
        <f>+H115*tab!F$16</f>
        <v>0</v>
      </c>
      <c r="AA115" s="68">
        <f>+I115*tab!G$16</f>
        <v>0</v>
      </c>
      <c r="AB115" s="68">
        <f>+J115*tab!H$16</f>
        <v>0</v>
      </c>
      <c r="AC115" s="68">
        <f>+K115*tab!I$16</f>
        <v>0</v>
      </c>
      <c r="AD115" s="68">
        <f>+L115*tab!J$16</f>
        <v>0</v>
      </c>
      <c r="AE115" s="71"/>
      <c r="AF115" s="153">
        <v>0</v>
      </c>
      <c r="AG115" s="120">
        <f t="shared" si="30"/>
        <v>0</v>
      </c>
      <c r="AH115" s="120">
        <f t="shared" si="30"/>
        <v>0</v>
      </c>
      <c r="AI115" s="120">
        <f t="shared" si="30"/>
        <v>0</v>
      </c>
      <c r="AJ115" s="120">
        <f t="shared" si="30"/>
        <v>0</v>
      </c>
      <c r="AK115" s="92"/>
      <c r="AL115" s="134"/>
    </row>
    <row r="116" spans="2:38" s="113" customFormat="1" x14ac:dyDescent="0.2">
      <c r="B116" s="1073"/>
      <c r="C116" s="150"/>
      <c r="D116" s="50">
        <v>102</v>
      </c>
      <c r="E116" s="151" t="s">
        <v>355</v>
      </c>
      <c r="F116" s="923" t="s">
        <v>312</v>
      </c>
      <c r="G116" s="1088"/>
      <c r="H116" s="925">
        <v>0</v>
      </c>
      <c r="I116" s="119">
        <f t="shared" si="28"/>
        <v>0</v>
      </c>
      <c r="J116" s="119">
        <f t="shared" si="28"/>
        <v>0</v>
      </c>
      <c r="K116" s="119">
        <f t="shared" si="28"/>
        <v>0</v>
      </c>
      <c r="L116" s="119">
        <f t="shared" si="28"/>
        <v>0</v>
      </c>
      <c r="M116" s="71"/>
      <c r="N116" s="68">
        <f>H116*tab!F$15</f>
        <v>0</v>
      </c>
      <c r="O116" s="68">
        <f>I116*tab!G$15</f>
        <v>0</v>
      </c>
      <c r="P116" s="68">
        <f>J116*tab!H$15</f>
        <v>0</v>
      </c>
      <c r="Q116" s="68">
        <f>K116*tab!I$15</f>
        <v>0</v>
      </c>
      <c r="R116" s="68">
        <f>L116*tab!J$15</f>
        <v>0</v>
      </c>
      <c r="S116" s="71"/>
      <c r="T116" s="120">
        <v>0</v>
      </c>
      <c r="U116" s="120">
        <f t="shared" si="31"/>
        <v>0</v>
      </c>
      <c r="V116" s="120">
        <f t="shared" si="29"/>
        <v>0</v>
      </c>
      <c r="W116" s="120">
        <f t="shared" si="29"/>
        <v>0</v>
      </c>
      <c r="X116" s="120">
        <f t="shared" si="29"/>
        <v>0</v>
      </c>
      <c r="Y116" s="71"/>
      <c r="Z116" s="68">
        <f>+H116*tab!F$16</f>
        <v>0</v>
      </c>
      <c r="AA116" s="68">
        <f>+I116*tab!G$16</f>
        <v>0</v>
      </c>
      <c r="AB116" s="68">
        <f>+J116*tab!H$16</f>
        <v>0</v>
      </c>
      <c r="AC116" s="68">
        <f>+K116*tab!I$16</f>
        <v>0</v>
      </c>
      <c r="AD116" s="68">
        <f>+L116*tab!J$16</f>
        <v>0</v>
      </c>
      <c r="AE116" s="71"/>
      <c r="AF116" s="153">
        <v>0</v>
      </c>
      <c r="AG116" s="120">
        <f t="shared" si="30"/>
        <v>0</v>
      </c>
      <c r="AH116" s="120">
        <f t="shared" si="30"/>
        <v>0</v>
      </c>
      <c r="AI116" s="120">
        <f t="shared" si="30"/>
        <v>0</v>
      </c>
      <c r="AJ116" s="120">
        <f t="shared" si="30"/>
        <v>0</v>
      </c>
      <c r="AK116" s="92"/>
      <c r="AL116" s="134"/>
    </row>
    <row r="117" spans="2:38" s="113" customFormat="1" x14ac:dyDescent="0.2">
      <c r="B117" s="1073"/>
      <c r="C117" s="150"/>
      <c r="D117" s="50">
        <v>103</v>
      </c>
      <c r="E117" s="151" t="s">
        <v>356</v>
      </c>
      <c r="F117" s="923" t="s">
        <v>312</v>
      </c>
      <c r="G117" s="1088"/>
      <c r="H117" s="925">
        <v>0</v>
      </c>
      <c r="I117" s="119">
        <f t="shared" ref="I117:L136" si="32">H117</f>
        <v>0</v>
      </c>
      <c r="J117" s="119">
        <f t="shared" si="32"/>
        <v>0</v>
      </c>
      <c r="K117" s="119">
        <f t="shared" si="32"/>
        <v>0</v>
      </c>
      <c r="L117" s="119">
        <f t="shared" si="32"/>
        <v>0</v>
      </c>
      <c r="M117" s="71"/>
      <c r="N117" s="68">
        <f>H117*tab!F$15</f>
        <v>0</v>
      </c>
      <c r="O117" s="68">
        <f>I117*tab!G$15</f>
        <v>0</v>
      </c>
      <c r="P117" s="68">
        <f>J117*tab!H$15</f>
        <v>0</v>
      </c>
      <c r="Q117" s="68">
        <f>K117*tab!I$15</f>
        <v>0</v>
      </c>
      <c r="R117" s="68">
        <f>L117*tab!J$15</f>
        <v>0</v>
      </c>
      <c r="S117" s="71"/>
      <c r="T117" s="120">
        <v>0</v>
      </c>
      <c r="U117" s="120">
        <f t="shared" si="31"/>
        <v>0</v>
      </c>
      <c r="V117" s="120">
        <f t="shared" si="29"/>
        <v>0</v>
      </c>
      <c r="W117" s="120">
        <f t="shared" si="29"/>
        <v>0</v>
      </c>
      <c r="X117" s="120">
        <f t="shared" si="29"/>
        <v>0</v>
      </c>
      <c r="Y117" s="71"/>
      <c r="Z117" s="68">
        <f>+H117*tab!F$16</f>
        <v>0</v>
      </c>
      <c r="AA117" s="68">
        <f>+I117*tab!G$16</f>
        <v>0</v>
      </c>
      <c r="AB117" s="68">
        <f>+J117*tab!H$16</f>
        <v>0</v>
      </c>
      <c r="AC117" s="68">
        <f>+K117*tab!I$16</f>
        <v>0</v>
      </c>
      <c r="AD117" s="68">
        <f>+L117*tab!J$16</f>
        <v>0</v>
      </c>
      <c r="AE117" s="71"/>
      <c r="AF117" s="153">
        <v>0</v>
      </c>
      <c r="AG117" s="120">
        <f t="shared" si="30"/>
        <v>0</v>
      </c>
      <c r="AH117" s="120">
        <f t="shared" si="30"/>
        <v>0</v>
      </c>
      <c r="AI117" s="120">
        <f t="shared" si="30"/>
        <v>0</v>
      </c>
      <c r="AJ117" s="120">
        <f t="shared" si="30"/>
        <v>0</v>
      </c>
      <c r="AK117" s="92"/>
      <c r="AL117" s="134"/>
    </row>
    <row r="118" spans="2:38" s="113" customFormat="1" x14ac:dyDescent="0.2">
      <c r="B118" s="1073"/>
      <c r="C118" s="150"/>
      <c r="D118" s="50">
        <v>104</v>
      </c>
      <c r="E118" s="151" t="s">
        <v>357</v>
      </c>
      <c r="F118" s="923" t="s">
        <v>312</v>
      </c>
      <c r="G118" s="1088"/>
      <c r="H118" s="925">
        <v>0</v>
      </c>
      <c r="I118" s="119">
        <f t="shared" si="32"/>
        <v>0</v>
      </c>
      <c r="J118" s="119">
        <f t="shared" si="32"/>
        <v>0</v>
      </c>
      <c r="K118" s="119">
        <f t="shared" si="32"/>
        <v>0</v>
      </c>
      <c r="L118" s="119">
        <f t="shared" si="32"/>
        <v>0</v>
      </c>
      <c r="M118" s="71"/>
      <c r="N118" s="68">
        <f>H118*tab!F$15</f>
        <v>0</v>
      </c>
      <c r="O118" s="68">
        <f>I118*tab!G$15</f>
        <v>0</v>
      </c>
      <c r="P118" s="68">
        <f>J118*tab!H$15</f>
        <v>0</v>
      </c>
      <c r="Q118" s="68">
        <f>K118*tab!I$15</f>
        <v>0</v>
      </c>
      <c r="R118" s="68">
        <f>L118*tab!J$15</f>
        <v>0</v>
      </c>
      <c r="S118" s="71"/>
      <c r="T118" s="120">
        <v>0</v>
      </c>
      <c r="U118" s="120">
        <f t="shared" si="31"/>
        <v>0</v>
      </c>
      <c r="V118" s="120">
        <f t="shared" si="29"/>
        <v>0</v>
      </c>
      <c r="W118" s="120">
        <f t="shared" si="29"/>
        <v>0</v>
      </c>
      <c r="X118" s="120">
        <f t="shared" si="29"/>
        <v>0</v>
      </c>
      <c r="Y118" s="71"/>
      <c r="Z118" s="68">
        <f>+H118*tab!F$16</f>
        <v>0</v>
      </c>
      <c r="AA118" s="68">
        <f>+I118*tab!G$16</f>
        <v>0</v>
      </c>
      <c r="AB118" s="68">
        <f>+J118*tab!H$16</f>
        <v>0</v>
      </c>
      <c r="AC118" s="68">
        <f>+K118*tab!I$16</f>
        <v>0</v>
      </c>
      <c r="AD118" s="68">
        <f>+L118*tab!J$16</f>
        <v>0</v>
      </c>
      <c r="AE118" s="71"/>
      <c r="AF118" s="153">
        <v>0</v>
      </c>
      <c r="AG118" s="120">
        <f t="shared" si="30"/>
        <v>0</v>
      </c>
      <c r="AH118" s="120">
        <f t="shared" si="30"/>
        <v>0</v>
      </c>
      <c r="AI118" s="120">
        <f t="shared" si="30"/>
        <v>0</v>
      </c>
      <c r="AJ118" s="120">
        <f t="shared" si="30"/>
        <v>0</v>
      </c>
      <c r="AK118" s="92"/>
      <c r="AL118" s="134"/>
    </row>
    <row r="119" spans="2:38" s="113" customFormat="1" x14ac:dyDescent="0.2">
      <c r="B119" s="1073"/>
      <c r="C119" s="150"/>
      <c r="D119" s="50">
        <v>105</v>
      </c>
      <c r="E119" s="151" t="s">
        <v>358</v>
      </c>
      <c r="F119" s="923" t="s">
        <v>312</v>
      </c>
      <c r="G119" s="1088"/>
      <c r="H119" s="925">
        <v>0</v>
      </c>
      <c r="I119" s="119">
        <f t="shared" si="32"/>
        <v>0</v>
      </c>
      <c r="J119" s="119">
        <f t="shared" si="32"/>
        <v>0</v>
      </c>
      <c r="K119" s="119">
        <f t="shared" si="32"/>
        <v>0</v>
      </c>
      <c r="L119" s="119">
        <f t="shared" si="32"/>
        <v>0</v>
      </c>
      <c r="M119" s="71"/>
      <c r="N119" s="68">
        <f>H119*tab!F$15</f>
        <v>0</v>
      </c>
      <c r="O119" s="68">
        <f>I119*tab!G$15</f>
        <v>0</v>
      </c>
      <c r="P119" s="68">
        <f>J119*tab!H$15</f>
        <v>0</v>
      </c>
      <c r="Q119" s="68">
        <f>K119*tab!I$15</f>
        <v>0</v>
      </c>
      <c r="R119" s="68">
        <f>L119*tab!J$15</f>
        <v>0</v>
      </c>
      <c r="S119" s="71"/>
      <c r="T119" s="120">
        <v>0</v>
      </c>
      <c r="U119" s="120">
        <f t="shared" si="31"/>
        <v>0</v>
      </c>
      <c r="V119" s="120">
        <f t="shared" si="29"/>
        <v>0</v>
      </c>
      <c r="W119" s="120">
        <f t="shared" si="29"/>
        <v>0</v>
      </c>
      <c r="X119" s="120">
        <f t="shared" si="29"/>
        <v>0</v>
      </c>
      <c r="Y119" s="71"/>
      <c r="Z119" s="68">
        <f>+H119*tab!F$16</f>
        <v>0</v>
      </c>
      <c r="AA119" s="68">
        <f>+I119*tab!G$16</f>
        <v>0</v>
      </c>
      <c r="AB119" s="68">
        <f>+J119*tab!H$16</f>
        <v>0</v>
      </c>
      <c r="AC119" s="68">
        <f>+K119*tab!I$16</f>
        <v>0</v>
      </c>
      <c r="AD119" s="68">
        <f>+L119*tab!J$16</f>
        <v>0</v>
      </c>
      <c r="AE119" s="71"/>
      <c r="AF119" s="153">
        <v>0</v>
      </c>
      <c r="AG119" s="120">
        <f t="shared" si="30"/>
        <v>0</v>
      </c>
      <c r="AH119" s="120">
        <f t="shared" si="30"/>
        <v>0</v>
      </c>
      <c r="AI119" s="120">
        <f t="shared" si="30"/>
        <v>0</v>
      </c>
      <c r="AJ119" s="120">
        <f t="shared" si="30"/>
        <v>0</v>
      </c>
      <c r="AK119" s="92"/>
      <c r="AL119" s="134"/>
    </row>
    <row r="120" spans="2:38" s="113" customFormat="1" x14ac:dyDescent="0.2">
      <c r="B120" s="1073"/>
      <c r="C120" s="150"/>
      <c r="D120" s="50">
        <v>106</v>
      </c>
      <c r="E120" s="151" t="s">
        <v>359</v>
      </c>
      <c r="F120" s="923" t="s">
        <v>312</v>
      </c>
      <c r="G120" s="1088"/>
      <c r="H120" s="925">
        <v>0</v>
      </c>
      <c r="I120" s="119">
        <f t="shared" si="32"/>
        <v>0</v>
      </c>
      <c r="J120" s="119">
        <f t="shared" si="32"/>
        <v>0</v>
      </c>
      <c r="K120" s="119">
        <f t="shared" si="32"/>
        <v>0</v>
      </c>
      <c r="L120" s="119">
        <f t="shared" si="32"/>
        <v>0</v>
      </c>
      <c r="M120" s="71"/>
      <c r="N120" s="68">
        <f>H120*tab!F$15</f>
        <v>0</v>
      </c>
      <c r="O120" s="68">
        <f>I120*tab!G$15</f>
        <v>0</v>
      </c>
      <c r="P120" s="68">
        <f>J120*tab!H$15</f>
        <v>0</v>
      </c>
      <c r="Q120" s="68">
        <f>K120*tab!I$15</f>
        <v>0</v>
      </c>
      <c r="R120" s="68">
        <f>L120*tab!J$15</f>
        <v>0</v>
      </c>
      <c r="S120" s="71"/>
      <c r="T120" s="120">
        <v>0</v>
      </c>
      <c r="U120" s="120">
        <f t="shared" si="31"/>
        <v>0</v>
      </c>
      <c r="V120" s="120">
        <f t="shared" si="29"/>
        <v>0</v>
      </c>
      <c r="W120" s="120">
        <f t="shared" si="29"/>
        <v>0</v>
      </c>
      <c r="X120" s="120">
        <f t="shared" si="29"/>
        <v>0</v>
      </c>
      <c r="Y120" s="71"/>
      <c r="Z120" s="68">
        <f>+H120*tab!F$16</f>
        <v>0</v>
      </c>
      <c r="AA120" s="68">
        <f>+I120*tab!G$16</f>
        <v>0</v>
      </c>
      <c r="AB120" s="68">
        <f>+J120*tab!H$16</f>
        <v>0</v>
      </c>
      <c r="AC120" s="68">
        <f>+K120*tab!I$16</f>
        <v>0</v>
      </c>
      <c r="AD120" s="68">
        <f>+L120*tab!J$16</f>
        <v>0</v>
      </c>
      <c r="AE120" s="71"/>
      <c r="AF120" s="153">
        <v>0</v>
      </c>
      <c r="AG120" s="120">
        <f t="shared" si="30"/>
        <v>0</v>
      </c>
      <c r="AH120" s="120">
        <f t="shared" si="30"/>
        <v>0</v>
      </c>
      <c r="AI120" s="120">
        <f t="shared" si="30"/>
        <v>0</v>
      </c>
      <c r="AJ120" s="120">
        <f t="shared" si="30"/>
        <v>0</v>
      </c>
      <c r="AK120" s="92"/>
      <c r="AL120" s="134"/>
    </row>
    <row r="121" spans="2:38" s="113" customFormat="1" x14ac:dyDescent="0.2">
      <c r="B121" s="1073"/>
      <c r="C121" s="150"/>
      <c r="D121" s="50">
        <v>107</v>
      </c>
      <c r="E121" s="151" t="s">
        <v>360</v>
      </c>
      <c r="F121" s="923" t="s">
        <v>312</v>
      </c>
      <c r="G121" s="1088"/>
      <c r="H121" s="925">
        <v>0</v>
      </c>
      <c r="I121" s="119">
        <f t="shared" si="32"/>
        <v>0</v>
      </c>
      <c r="J121" s="119">
        <f t="shared" si="32"/>
        <v>0</v>
      </c>
      <c r="K121" s="119">
        <f t="shared" si="32"/>
        <v>0</v>
      </c>
      <c r="L121" s="119">
        <f t="shared" si="32"/>
        <v>0</v>
      </c>
      <c r="M121" s="71"/>
      <c r="N121" s="68">
        <f>H121*tab!F$15</f>
        <v>0</v>
      </c>
      <c r="O121" s="68">
        <f>I121*tab!G$15</f>
        <v>0</v>
      </c>
      <c r="P121" s="68">
        <f>J121*tab!H$15</f>
        <v>0</v>
      </c>
      <c r="Q121" s="68">
        <f>K121*tab!I$15</f>
        <v>0</v>
      </c>
      <c r="R121" s="68">
        <f>L121*tab!J$15</f>
        <v>0</v>
      </c>
      <c r="S121" s="71"/>
      <c r="T121" s="120">
        <v>0</v>
      </c>
      <c r="U121" s="120">
        <f t="shared" si="31"/>
        <v>0</v>
      </c>
      <c r="V121" s="120">
        <f t="shared" si="29"/>
        <v>0</v>
      </c>
      <c r="W121" s="120">
        <f t="shared" si="29"/>
        <v>0</v>
      </c>
      <c r="X121" s="120">
        <f t="shared" si="29"/>
        <v>0</v>
      </c>
      <c r="Y121" s="71"/>
      <c r="Z121" s="68">
        <f>+H121*tab!F$16</f>
        <v>0</v>
      </c>
      <c r="AA121" s="68">
        <f>+I121*tab!G$16</f>
        <v>0</v>
      </c>
      <c r="AB121" s="68">
        <f>+J121*tab!H$16</f>
        <v>0</v>
      </c>
      <c r="AC121" s="68">
        <f>+K121*tab!I$16</f>
        <v>0</v>
      </c>
      <c r="AD121" s="68">
        <f>+L121*tab!J$16</f>
        <v>0</v>
      </c>
      <c r="AE121" s="71"/>
      <c r="AF121" s="153">
        <v>0</v>
      </c>
      <c r="AG121" s="120">
        <f t="shared" si="30"/>
        <v>0</v>
      </c>
      <c r="AH121" s="120">
        <f t="shared" si="30"/>
        <v>0</v>
      </c>
      <c r="AI121" s="120">
        <f t="shared" si="30"/>
        <v>0</v>
      </c>
      <c r="AJ121" s="120">
        <f t="shared" si="30"/>
        <v>0</v>
      </c>
      <c r="AK121" s="92"/>
      <c r="AL121" s="134"/>
    </row>
    <row r="122" spans="2:38" s="113" customFormat="1" x14ac:dyDescent="0.2">
      <c r="B122" s="1073"/>
      <c r="C122" s="150"/>
      <c r="D122" s="50">
        <v>108</v>
      </c>
      <c r="E122" s="151" t="s">
        <v>361</v>
      </c>
      <c r="F122" s="923" t="s">
        <v>312</v>
      </c>
      <c r="G122" s="1088"/>
      <c r="H122" s="925">
        <v>0</v>
      </c>
      <c r="I122" s="119">
        <f t="shared" si="32"/>
        <v>0</v>
      </c>
      <c r="J122" s="119">
        <f t="shared" si="32"/>
        <v>0</v>
      </c>
      <c r="K122" s="119">
        <f t="shared" si="32"/>
        <v>0</v>
      </c>
      <c r="L122" s="119">
        <f t="shared" si="32"/>
        <v>0</v>
      </c>
      <c r="M122" s="71"/>
      <c r="N122" s="68">
        <f>H122*tab!F$15</f>
        <v>0</v>
      </c>
      <c r="O122" s="68">
        <f>I122*tab!G$15</f>
        <v>0</v>
      </c>
      <c r="P122" s="68">
        <f>J122*tab!H$15</f>
        <v>0</v>
      </c>
      <c r="Q122" s="68">
        <f>K122*tab!I$15</f>
        <v>0</v>
      </c>
      <c r="R122" s="68">
        <f>L122*tab!J$15</f>
        <v>0</v>
      </c>
      <c r="S122" s="71"/>
      <c r="T122" s="120">
        <v>0</v>
      </c>
      <c r="U122" s="120">
        <f t="shared" si="31"/>
        <v>0</v>
      </c>
      <c r="V122" s="120">
        <f t="shared" si="29"/>
        <v>0</v>
      </c>
      <c r="W122" s="120">
        <f t="shared" si="29"/>
        <v>0</v>
      </c>
      <c r="X122" s="120">
        <f t="shared" si="29"/>
        <v>0</v>
      </c>
      <c r="Y122" s="71"/>
      <c r="Z122" s="68">
        <f>+H122*tab!F$16</f>
        <v>0</v>
      </c>
      <c r="AA122" s="68">
        <f>+I122*tab!G$16</f>
        <v>0</v>
      </c>
      <c r="AB122" s="68">
        <f>+J122*tab!H$16</f>
        <v>0</v>
      </c>
      <c r="AC122" s="68">
        <f>+K122*tab!I$16</f>
        <v>0</v>
      </c>
      <c r="AD122" s="68">
        <f>+L122*tab!J$16</f>
        <v>0</v>
      </c>
      <c r="AE122" s="71"/>
      <c r="AF122" s="153">
        <v>0</v>
      </c>
      <c r="AG122" s="120">
        <f t="shared" si="30"/>
        <v>0</v>
      </c>
      <c r="AH122" s="120">
        <f t="shared" si="30"/>
        <v>0</v>
      </c>
      <c r="AI122" s="120">
        <f t="shared" si="30"/>
        <v>0</v>
      </c>
      <c r="AJ122" s="120">
        <f t="shared" si="30"/>
        <v>0</v>
      </c>
      <c r="AK122" s="92"/>
      <c r="AL122" s="134"/>
    </row>
    <row r="123" spans="2:38" s="113" customFormat="1" x14ac:dyDescent="0.2">
      <c r="B123" s="1073"/>
      <c r="C123" s="150"/>
      <c r="D123" s="50">
        <v>109</v>
      </c>
      <c r="E123" s="151" t="s">
        <v>362</v>
      </c>
      <c r="F123" s="923" t="s">
        <v>312</v>
      </c>
      <c r="G123" s="1088"/>
      <c r="H123" s="925">
        <v>0</v>
      </c>
      <c r="I123" s="119">
        <f t="shared" si="32"/>
        <v>0</v>
      </c>
      <c r="J123" s="119">
        <f t="shared" si="32"/>
        <v>0</v>
      </c>
      <c r="K123" s="119">
        <f t="shared" si="32"/>
        <v>0</v>
      </c>
      <c r="L123" s="119">
        <f t="shared" si="32"/>
        <v>0</v>
      </c>
      <c r="M123" s="71"/>
      <c r="N123" s="68">
        <f>H123*tab!F$15</f>
        <v>0</v>
      </c>
      <c r="O123" s="68">
        <f>I123*tab!G$15</f>
        <v>0</v>
      </c>
      <c r="P123" s="68">
        <f>J123*tab!H$15</f>
        <v>0</v>
      </c>
      <c r="Q123" s="68">
        <f>K123*tab!I$15</f>
        <v>0</v>
      </c>
      <c r="R123" s="68">
        <f>L123*tab!J$15</f>
        <v>0</v>
      </c>
      <c r="S123" s="71"/>
      <c r="T123" s="120">
        <v>0</v>
      </c>
      <c r="U123" s="120">
        <f t="shared" si="31"/>
        <v>0</v>
      </c>
      <c r="V123" s="120">
        <f t="shared" ref="V123:X139" si="33">U123</f>
        <v>0</v>
      </c>
      <c r="W123" s="120">
        <f t="shared" si="33"/>
        <v>0</v>
      </c>
      <c r="X123" s="120">
        <f t="shared" si="33"/>
        <v>0</v>
      </c>
      <c r="Y123" s="71"/>
      <c r="Z123" s="68">
        <f>+H123*tab!F$16</f>
        <v>0</v>
      </c>
      <c r="AA123" s="68">
        <f>+I123*tab!G$16</f>
        <v>0</v>
      </c>
      <c r="AB123" s="68">
        <f>+J123*tab!H$16</f>
        <v>0</v>
      </c>
      <c r="AC123" s="68">
        <f>+K123*tab!I$16</f>
        <v>0</v>
      </c>
      <c r="AD123" s="68">
        <f>+L123*tab!J$16</f>
        <v>0</v>
      </c>
      <c r="AE123" s="71"/>
      <c r="AF123" s="153">
        <v>0</v>
      </c>
      <c r="AG123" s="120">
        <f t="shared" si="30"/>
        <v>0</v>
      </c>
      <c r="AH123" s="120">
        <f t="shared" si="30"/>
        <v>0</v>
      </c>
      <c r="AI123" s="120">
        <f t="shared" si="30"/>
        <v>0</v>
      </c>
      <c r="AJ123" s="120">
        <f t="shared" si="30"/>
        <v>0</v>
      </c>
      <c r="AK123" s="92"/>
      <c r="AL123" s="134"/>
    </row>
    <row r="124" spans="2:38" s="113" customFormat="1" x14ac:dyDescent="0.2">
      <c r="B124" s="1073"/>
      <c r="C124" s="150"/>
      <c r="D124" s="50">
        <v>110</v>
      </c>
      <c r="E124" s="151" t="s">
        <v>363</v>
      </c>
      <c r="F124" s="923" t="s">
        <v>312</v>
      </c>
      <c r="G124" s="1088"/>
      <c r="H124" s="925">
        <v>0</v>
      </c>
      <c r="I124" s="119">
        <f t="shared" si="32"/>
        <v>0</v>
      </c>
      <c r="J124" s="119">
        <f t="shared" si="32"/>
        <v>0</v>
      </c>
      <c r="K124" s="119">
        <f t="shared" si="32"/>
        <v>0</v>
      </c>
      <c r="L124" s="119">
        <f t="shared" si="32"/>
        <v>0</v>
      </c>
      <c r="M124" s="71"/>
      <c r="N124" s="68">
        <f>H124*tab!F$15</f>
        <v>0</v>
      </c>
      <c r="O124" s="68">
        <f>I124*tab!G$15</f>
        <v>0</v>
      </c>
      <c r="P124" s="68">
        <f>J124*tab!H$15</f>
        <v>0</v>
      </c>
      <c r="Q124" s="68">
        <f>K124*tab!I$15</f>
        <v>0</v>
      </c>
      <c r="R124" s="68">
        <f>L124*tab!J$15</f>
        <v>0</v>
      </c>
      <c r="S124" s="71"/>
      <c r="T124" s="120">
        <v>0</v>
      </c>
      <c r="U124" s="120">
        <f t="shared" si="31"/>
        <v>0</v>
      </c>
      <c r="V124" s="120">
        <f t="shared" si="33"/>
        <v>0</v>
      </c>
      <c r="W124" s="120">
        <f t="shared" si="33"/>
        <v>0</v>
      </c>
      <c r="X124" s="120">
        <f t="shared" si="33"/>
        <v>0</v>
      </c>
      <c r="Y124" s="71"/>
      <c r="Z124" s="68">
        <f>+H124*tab!F$16</f>
        <v>0</v>
      </c>
      <c r="AA124" s="68">
        <f>+I124*tab!G$16</f>
        <v>0</v>
      </c>
      <c r="AB124" s="68">
        <f>+J124*tab!H$16</f>
        <v>0</v>
      </c>
      <c r="AC124" s="68">
        <f>+K124*tab!I$16</f>
        <v>0</v>
      </c>
      <c r="AD124" s="68">
        <f>+L124*tab!J$16</f>
        <v>0</v>
      </c>
      <c r="AE124" s="71"/>
      <c r="AF124" s="153">
        <v>0</v>
      </c>
      <c r="AG124" s="120">
        <f t="shared" si="30"/>
        <v>0</v>
      </c>
      <c r="AH124" s="120">
        <f t="shared" si="30"/>
        <v>0</v>
      </c>
      <c r="AI124" s="120">
        <f t="shared" si="30"/>
        <v>0</v>
      </c>
      <c r="AJ124" s="120">
        <f t="shared" si="30"/>
        <v>0</v>
      </c>
      <c r="AK124" s="92"/>
      <c r="AL124" s="134"/>
    </row>
    <row r="125" spans="2:38" s="113" customFormat="1" x14ac:dyDescent="0.2">
      <c r="B125" s="1073"/>
      <c r="C125" s="150"/>
      <c r="D125" s="50">
        <v>111</v>
      </c>
      <c r="E125" s="151" t="s">
        <v>364</v>
      </c>
      <c r="F125" s="923" t="s">
        <v>312</v>
      </c>
      <c r="G125" s="1088"/>
      <c r="H125" s="925">
        <v>0</v>
      </c>
      <c r="I125" s="119">
        <f t="shared" si="32"/>
        <v>0</v>
      </c>
      <c r="J125" s="119">
        <f t="shared" si="32"/>
        <v>0</v>
      </c>
      <c r="K125" s="119">
        <f t="shared" si="32"/>
        <v>0</v>
      </c>
      <c r="L125" s="119">
        <f t="shared" si="32"/>
        <v>0</v>
      </c>
      <c r="M125" s="71"/>
      <c r="N125" s="68">
        <f>H125*tab!F$15</f>
        <v>0</v>
      </c>
      <c r="O125" s="68">
        <f>I125*tab!G$15</f>
        <v>0</v>
      </c>
      <c r="P125" s="68">
        <f>J125*tab!H$15</f>
        <v>0</v>
      </c>
      <c r="Q125" s="68">
        <f>K125*tab!I$15</f>
        <v>0</v>
      </c>
      <c r="R125" s="68">
        <f>L125*tab!J$15</f>
        <v>0</v>
      </c>
      <c r="S125" s="71"/>
      <c r="T125" s="120">
        <v>0</v>
      </c>
      <c r="U125" s="120">
        <f t="shared" si="31"/>
        <v>0</v>
      </c>
      <c r="V125" s="120">
        <f t="shared" si="33"/>
        <v>0</v>
      </c>
      <c r="W125" s="120">
        <f t="shared" si="33"/>
        <v>0</v>
      </c>
      <c r="X125" s="120">
        <f t="shared" si="33"/>
        <v>0</v>
      </c>
      <c r="Y125" s="71"/>
      <c r="Z125" s="68">
        <f>+H125*tab!F$16</f>
        <v>0</v>
      </c>
      <c r="AA125" s="68">
        <f>+I125*tab!G$16</f>
        <v>0</v>
      </c>
      <c r="AB125" s="68">
        <f>+J125*tab!H$16</f>
        <v>0</v>
      </c>
      <c r="AC125" s="68">
        <f>+K125*tab!I$16</f>
        <v>0</v>
      </c>
      <c r="AD125" s="68">
        <f>+L125*tab!J$16</f>
        <v>0</v>
      </c>
      <c r="AE125" s="71"/>
      <c r="AF125" s="153">
        <v>0</v>
      </c>
      <c r="AG125" s="120">
        <f t="shared" si="30"/>
        <v>0</v>
      </c>
      <c r="AH125" s="120">
        <f t="shared" si="30"/>
        <v>0</v>
      </c>
      <c r="AI125" s="120">
        <f t="shared" si="30"/>
        <v>0</v>
      </c>
      <c r="AJ125" s="120">
        <f t="shared" si="30"/>
        <v>0</v>
      </c>
      <c r="AK125" s="92"/>
      <c r="AL125" s="134"/>
    </row>
    <row r="126" spans="2:38" s="113" customFormat="1" x14ac:dyDescent="0.2">
      <c r="B126" s="1073"/>
      <c r="C126" s="150"/>
      <c r="D126" s="50">
        <v>112</v>
      </c>
      <c r="E126" s="151" t="s">
        <v>365</v>
      </c>
      <c r="F126" s="923" t="s">
        <v>312</v>
      </c>
      <c r="G126" s="1088"/>
      <c r="H126" s="925">
        <v>0</v>
      </c>
      <c r="I126" s="119">
        <f t="shared" si="32"/>
        <v>0</v>
      </c>
      <c r="J126" s="119">
        <f t="shared" si="32"/>
        <v>0</v>
      </c>
      <c r="K126" s="119">
        <f t="shared" si="32"/>
        <v>0</v>
      </c>
      <c r="L126" s="119">
        <f t="shared" si="32"/>
        <v>0</v>
      </c>
      <c r="M126" s="71"/>
      <c r="N126" s="68">
        <f>H126*tab!F$15</f>
        <v>0</v>
      </c>
      <c r="O126" s="68">
        <f>I126*tab!G$15</f>
        <v>0</v>
      </c>
      <c r="P126" s="68">
        <f>J126*tab!H$15</f>
        <v>0</v>
      </c>
      <c r="Q126" s="68">
        <f>K126*tab!I$15</f>
        <v>0</v>
      </c>
      <c r="R126" s="68">
        <f>L126*tab!J$15</f>
        <v>0</v>
      </c>
      <c r="S126" s="71"/>
      <c r="T126" s="120">
        <v>0</v>
      </c>
      <c r="U126" s="120">
        <f t="shared" si="31"/>
        <v>0</v>
      </c>
      <c r="V126" s="120">
        <f t="shared" si="33"/>
        <v>0</v>
      </c>
      <c r="W126" s="120">
        <f t="shared" si="33"/>
        <v>0</v>
      </c>
      <c r="X126" s="120">
        <f t="shared" si="33"/>
        <v>0</v>
      </c>
      <c r="Y126" s="71"/>
      <c r="Z126" s="68">
        <f>+H126*tab!F$16</f>
        <v>0</v>
      </c>
      <c r="AA126" s="68">
        <f>+I126*tab!G$16</f>
        <v>0</v>
      </c>
      <c r="AB126" s="68">
        <f>+J126*tab!H$16</f>
        <v>0</v>
      </c>
      <c r="AC126" s="68">
        <f>+K126*tab!I$16</f>
        <v>0</v>
      </c>
      <c r="AD126" s="68">
        <f>+L126*tab!J$16</f>
        <v>0</v>
      </c>
      <c r="AE126" s="71"/>
      <c r="AF126" s="153">
        <v>0</v>
      </c>
      <c r="AG126" s="120">
        <f t="shared" si="30"/>
        <v>0</v>
      </c>
      <c r="AH126" s="120">
        <f t="shared" si="30"/>
        <v>0</v>
      </c>
      <c r="AI126" s="120">
        <f t="shared" si="30"/>
        <v>0</v>
      </c>
      <c r="AJ126" s="120">
        <f t="shared" si="30"/>
        <v>0</v>
      </c>
      <c r="AK126" s="92"/>
      <c r="AL126" s="134"/>
    </row>
    <row r="127" spans="2:38" s="113" customFormat="1" x14ac:dyDescent="0.2">
      <c r="B127" s="1073"/>
      <c r="C127" s="150"/>
      <c r="D127" s="50">
        <v>113</v>
      </c>
      <c r="E127" s="151" t="s">
        <v>366</v>
      </c>
      <c r="F127" s="923" t="s">
        <v>312</v>
      </c>
      <c r="G127" s="1088"/>
      <c r="H127" s="925">
        <v>0</v>
      </c>
      <c r="I127" s="119">
        <f t="shared" si="32"/>
        <v>0</v>
      </c>
      <c r="J127" s="119">
        <f t="shared" si="32"/>
        <v>0</v>
      </c>
      <c r="K127" s="119">
        <f t="shared" si="32"/>
        <v>0</v>
      </c>
      <c r="L127" s="119">
        <f t="shared" si="32"/>
        <v>0</v>
      </c>
      <c r="M127" s="71"/>
      <c r="N127" s="68">
        <f>H127*tab!F$15</f>
        <v>0</v>
      </c>
      <c r="O127" s="68">
        <f>I127*tab!G$15</f>
        <v>0</v>
      </c>
      <c r="P127" s="68">
        <f>J127*tab!H$15</f>
        <v>0</v>
      </c>
      <c r="Q127" s="68">
        <f>K127*tab!I$15</f>
        <v>0</v>
      </c>
      <c r="R127" s="68">
        <f>L127*tab!J$15</f>
        <v>0</v>
      </c>
      <c r="S127" s="71"/>
      <c r="T127" s="120">
        <v>0</v>
      </c>
      <c r="U127" s="120">
        <f t="shared" si="31"/>
        <v>0</v>
      </c>
      <c r="V127" s="120">
        <f t="shared" si="33"/>
        <v>0</v>
      </c>
      <c r="W127" s="120">
        <f t="shared" si="33"/>
        <v>0</v>
      </c>
      <c r="X127" s="120">
        <f t="shared" si="33"/>
        <v>0</v>
      </c>
      <c r="Y127" s="71"/>
      <c r="Z127" s="68">
        <f>+H127*tab!F$16</f>
        <v>0</v>
      </c>
      <c r="AA127" s="68">
        <f>+I127*tab!G$16</f>
        <v>0</v>
      </c>
      <c r="AB127" s="68">
        <f>+J127*tab!H$16</f>
        <v>0</v>
      </c>
      <c r="AC127" s="68">
        <f>+K127*tab!I$16</f>
        <v>0</v>
      </c>
      <c r="AD127" s="68">
        <f>+L127*tab!J$16</f>
        <v>0</v>
      </c>
      <c r="AE127" s="71"/>
      <c r="AF127" s="153">
        <v>0</v>
      </c>
      <c r="AG127" s="120">
        <f t="shared" si="30"/>
        <v>0</v>
      </c>
      <c r="AH127" s="120">
        <f t="shared" si="30"/>
        <v>0</v>
      </c>
      <c r="AI127" s="120">
        <f t="shared" si="30"/>
        <v>0</v>
      </c>
      <c r="AJ127" s="120">
        <f t="shared" si="30"/>
        <v>0</v>
      </c>
      <c r="AK127" s="92"/>
      <c r="AL127" s="134"/>
    </row>
    <row r="128" spans="2:38" s="113" customFormat="1" x14ac:dyDescent="0.2">
      <c r="B128" s="1073"/>
      <c r="C128" s="150"/>
      <c r="D128" s="50">
        <v>114</v>
      </c>
      <c r="E128" s="151" t="s">
        <v>367</v>
      </c>
      <c r="F128" s="923" t="s">
        <v>312</v>
      </c>
      <c r="G128" s="1088"/>
      <c r="H128" s="925">
        <v>0</v>
      </c>
      <c r="I128" s="119">
        <f t="shared" si="32"/>
        <v>0</v>
      </c>
      <c r="J128" s="119">
        <f t="shared" si="32"/>
        <v>0</v>
      </c>
      <c r="K128" s="119">
        <f t="shared" si="32"/>
        <v>0</v>
      </c>
      <c r="L128" s="119">
        <f t="shared" si="32"/>
        <v>0</v>
      </c>
      <c r="M128" s="71"/>
      <c r="N128" s="68">
        <f>H128*tab!F$15</f>
        <v>0</v>
      </c>
      <c r="O128" s="68">
        <f>I128*tab!G$15</f>
        <v>0</v>
      </c>
      <c r="P128" s="68">
        <f>J128*tab!H$15</f>
        <v>0</v>
      </c>
      <c r="Q128" s="68">
        <f>K128*tab!I$15</f>
        <v>0</v>
      </c>
      <c r="R128" s="68">
        <f>L128*tab!J$15</f>
        <v>0</v>
      </c>
      <c r="S128" s="71"/>
      <c r="T128" s="120">
        <v>0</v>
      </c>
      <c r="U128" s="120">
        <f t="shared" si="31"/>
        <v>0</v>
      </c>
      <c r="V128" s="120">
        <f t="shared" si="33"/>
        <v>0</v>
      </c>
      <c r="W128" s="120">
        <f t="shared" si="33"/>
        <v>0</v>
      </c>
      <c r="X128" s="120">
        <f t="shared" si="33"/>
        <v>0</v>
      </c>
      <c r="Y128" s="71"/>
      <c r="Z128" s="68">
        <f>+H128*tab!F$16</f>
        <v>0</v>
      </c>
      <c r="AA128" s="68">
        <f>+I128*tab!G$16</f>
        <v>0</v>
      </c>
      <c r="AB128" s="68">
        <f>+J128*tab!H$16</f>
        <v>0</v>
      </c>
      <c r="AC128" s="68">
        <f>+K128*tab!I$16</f>
        <v>0</v>
      </c>
      <c r="AD128" s="68">
        <f>+L128*tab!J$16</f>
        <v>0</v>
      </c>
      <c r="AE128" s="71"/>
      <c r="AF128" s="153">
        <v>0</v>
      </c>
      <c r="AG128" s="120">
        <f t="shared" ref="AG128:AJ139" si="34">AF128</f>
        <v>0</v>
      </c>
      <c r="AH128" s="120">
        <f t="shared" si="34"/>
        <v>0</v>
      </c>
      <c r="AI128" s="120">
        <f t="shared" si="34"/>
        <v>0</v>
      </c>
      <c r="AJ128" s="120">
        <f t="shared" si="34"/>
        <v>0</v>
      </c>
      <c r="AK128" s="92"/>
      <c r="AL128" s="134"/>
    </row>
    <row r="129" spans="2:38" s="113" customFormat="1" x14ac:dyDescent="0.2">
      <c r="B129" s="1073"/>
      <c r="C129" s="150"/>
      <c r="D129" s="50">
        <v>115</v>
      </c>
      <c r="E129" s="151" t="s">
        <v>368</v>
      </c>
      <c r="F129" s="923" t="s">
        <v>312</v>
      </c>
      <c r="G129" s="1088"/>
      <c r="H129" s="925">
        <v>0</v>
      </c>
      <c r="I129" s="119">
        <f t="shared" si="32"/>
        <v>0</v>
      </c>
      <c r="J129" s="119">
        <f t="shared" si="32"/>
        <v>0</v>
      </c>
      <c r="K129" s="119">
        <f t="shared" si="32"/>
        <v>0</v>
      </c>
      <c r="L129" s="119">
        <f t="shared" si="32"/>
        <v>0</v>
      </c>
      <c r="M129" s="71"/>
      <c r="N129" s="68">
        <f>H129*tab!F$15</f>
        <v>0</v>
      </c>
      <c r="O129" s="68">
        <f>I129*tab!G$15</f>
        <v>0</v>
      </c>
      <c r="P129" s="68">
        <f>J129*tab!H$15</f>
        <v>0</v>
      </c>
      <c r="Q129" s="68">
        <f>K129*tab!I$15</f>
        <v>0</v>
      </c>
      <c r="R129" s="68">
        <f>L129*tab!J$15</f>
        <v>0</v>
      </c>
      <c r="S129" s="71"/>
      <c r="T129" s="120">
        <v>0</v>
      </c>
      <c r="U129" s="120">
        <f t="shared" si="31"/>
        <v>0</v>
      </c>
      <c r="V129" s="120">
        <f t="shared" si="33"/>
        <v>0</v>
      </c>
      <c r="W129" s="120">
        <f t="shared" si="33"/>
        <v>0</v>
      </c>
      <c r="X129" s="120">
        <f t="shared" si="33"/>
        <v>0</v>
      </c>
      <c r="Y129" s="71"/>
      <c r="Z129" s="68">
        <f>+H129*tab!F$16</f>
        <v>0</v>
      </c>
      <c r="AA129" s="68">
        <f>+I129*tab!G$16</f>
        <v>0</v>
      </c>
      <c r="AB129" s="68">
        <f>+J129*tab!H$16</f>
        <v>0</v>
      </c>
      <c r="AC129" s="68">
        <f>+K129*tab!I$16</f>
        <v>0</v>
      </c>
      <c r="AD129" s="68">
        <f>+L129*tab!J$16</f>
        <v>0</v>
      </c>
      <c r="AE129" s="71"/>
      <c r="AF129" s="153">
        <v>0</v>
      </c>
      <c r="AG129" s="120">
        <f t="shared" si="34"/>
        <v>0</v>
      </c>
      <c r="AH129" s="120">
        <f t="shared" si="34"/>
        <v>0</v>
      </c>
      <c r="AI129" s="120">
        <f t="shared" si="34"/>
        <v>0</v>
      </c>
      <c r="AJ129" s="120">
        <f t="shared" si="34"/>
        <v>0</v>
      </c>
      <c r="AK129" s="92"/>
      <c r="AL129" s="134"/>
    </row>
    <row r="130" spans="2:38" s="113" customFormat="1" x14ac:dyDescent="0.2">
      <c r="B130" s="1073"/>
      <c r="C130" s="150"/>
      <c r="D130" s="50">
        <v>116</v>
      </c>
      <c r="E130" s="151" t="s">
        <v>369</v>
      </c>
      <c r="F130" s="923" t="s">
        <v>312</v>
      </c>
      <c r="G130" s="1088"/>
      <c r="H130" s="925">
        <v>0</v>
      </c>
      <c r="I130" s="119">
        <f t="shared" si="32"/>
        <v>0</v>
      </c>
      <c r="J130" s="119">
        <f t="shared" si="32"/>
        <v>0</v>
      </c>
      <c r="K130" s="119">
        <f t="shared" si="32"/>
        <v>0</v>
      </c>
      <c r="L130" s="119">
        <f t="shared" si="32"/>
        <v>0</v>
      </c>
      <c r="M130" s="71"/>
      <c r="N130" s="68">
        <f>H130*tab!F$15</f>
        <v>0</v>
      </c>
      <c r="O130" s="68">
        <f>I130*tab!G$15</f>
        <v>0</v>
      </c>
      <c r="P130" s="68">
        <f>J130*tab!H$15</f>
        <v>0</v>
      </c>
      <c r="Q130" s="68">
        <f>K130*tab!I$15</f>
        <v>0</v>
      </c>
      <c r="R130" s="68">
        <f>L130*tab!J$15</f>
        <v>0</v>
      </c>
      <c r="S130" s="71"/>
      <c r="T130" s="120">
        <v>0</v>
      </c>
      <c r="U130" s="120">
        <f t="shared" si="31"/>
        <v>0</v>
      </c>
      <c r="V130" s="120">
        <f t="shared" si="33"/>
        <v>0</v>
      </c>
      <c r="W130" s="120">
        <f t="shared" si="33"/>
        <v>0</v>
      </c>
      <c r="X130" s="120">
        <f t="shared" si="33"/>
        <v>0</v>
      </c>
      <c r="Y130" s="71"/>
      <c r="Z130" s="68">
        <f>+H130*tab!F$16</f>
        <v>0</v>
      </c>
      <c r="AA130" s="68">
        <f>+I130*tab!G$16</f>
        <v>0</v>
      </c>
      <c r="AB130" s="68">
        <f>+J130*tab!H$16</f>
        <v>0</v>
      </c>
      <c r="AC130" s="68">
        <f>+K130*tab!I$16</f>
        <v>0</v>
      </c>
      <c r="AD130" s="68">
        <f>+L130*tab!J$16</f>
        <v>0</v>
      </c>
      <c r="AE130" s="71"/>
      <c r="AF130" s="153">
        <v>0</v>
      </c>
      <c r="AG130" s="120">
        <f t="shared" si="34"/>
        <v>0</v>
      </c>
      <c r="AH130" s="120">
        <f t="shared" si="34"/>
        <v>0</v>
      </c>
      <c r="AI130" s="120">
        <f t="shared" si="34"/>
        <v>0</v>
      </c>
      <c r="AJ130" s="120">
        <f t="shared" si="34"/>
        <v>0</v>
      </c>
      <c r="AK130" s="92"/>
      <c r="AL130" s="134"/>
    </row>
    <row r="131" spans="2:38" s="113" customFormat="1" x14ac:dyDescent="0.2">
      <c r="B131" s="1073"/>
      <c r="C131" s="150"/>
      <c r="D131" s="50">
        <v>117</v>
      </c>
      <c r="E131" s="151" t="s">
        <v>370</v>
      </c>
      <c r="F131" s="923" t="s">
        <v>312</v>
      </c>
      <c r="G131" s="1088"/>
      <c r="H131" s="925">
        <v>0</v>
      </c>
      <c r="I131" s="119">
        <f t="shared" si="32"/>
        <v>0</v>
      </c>
      <c r="J131" s="119">
        <f t="shared" si="32"/>
        <v>0</v>
      </c>
      <c r="K131" s="119">
        <f t="shared" si="32"/>
        <v>0</v>
      </c>
      <c r="L131" s="119">
        <f t="shared" si="32"/>
        <v>0</v>
      </c>
      <c r="M131" s="71"/>
      <c r="N131" s="68">
        <f>H131*tab!F$15</f>
        <v>0</v>
      </c>
      <c r="O131" s="68">
        <f>I131*tab!G$15</f>
        <v>0</v>
      </c>
      <c r="P131" s="68">
        <f>J131*tab!H$15</f>
        <v>0</v>
      </c>
      <c r="Q131" s="68">
        <f>K131*tab!I$15</f>
        <v>0</v>
      </c>
      <c r="R131" s="68">
        <f>L131*tab!J$15</f>
        <v>0</v>
      </c>
      <c r="S131" s="71"/>
      <c r="T131" s="120">
        <v>0</v>
      </c>
      <c r="U131" s="120">
        <f t="shared" si="31"/>
        <v>0</v>
      </c>
      <c r="V131" s="120">
        <f t="shared" si="33"/>
        <v>0</v>
      </c>
      <c r="W131" s="120">
        <f t="shared" si="33"/>
        <v>0</v>
      </c>
      <c r="X131" s="120">
        <f t="shared" si="33"/>
        <v>0</v>
      </c>
      <c r="Y131" s="71"/>
      <c r="Z131" s="68">
        <f>+H131*tab!F$16</f>
        <v>0</v>
      </c>
      <c r="AA131" s="68">
        <f>+I131*tab!G$16</f>
        <v>0</v>
      </c>
      <c r="AB131" s="68">
        <f>+J131*tab!H$16</f>
        <v>0</v>
      </c>
      <c r="AC131" s="68">
        <f>+K131*tab!I$16</f>
        <v>0</v>
      </c>
      <c r="AD131" s="68">
        <f>+L131*tab!J$16</f>
        <v>0</v>
      </c>
      <c r="AE131" s="71"/>
      <c r="AF131" s="153">
        <v>0</v>
      </c>
      <c r="AG131" s="120">
        <f t="shared" si="34"/>
        <v>0</v>
      </c>
      <c r="AH131" s="120">
        <f t="shared" si="34"/>
        <v>0</v>
      </c>
      <c r="AI131" s="120">
        <f t="shared" si="34"/>
        <v>0</v>
      </c>
      <c r="AJ131" s="120">
        <f t="shared" si="34"/>
        <v>0</v>
      </c>
      <c r="AK131" s="92"/>
      <c r="AL131" s="134"/>
    </row>
    <row r="132" spans="2:38" s="113" customFormat="1" x14ac:dyDescent="0.2">
      <c r="B132" s="1073"/>
      <c r="C132" s="150"/>
      <c r="D132" s="50">
        <v>118</v>
      </c>
      <c r="E132" s="151" t="s">
        <v>371</v>
      </c>
      <c r="F132" s="923" t="s">
        <v>312</v>
      </c>
      <c r="G132" s="1088"/>
      <c r="H132" s="925">
        <v>0</v>
      </c>
      <c r="I132" s="119">
        <f t="shared" si="32"/>
        <v>0</v>
      </c>
      <c r="J132" s="119">
        <f t="shared" si="32"/>
        <v>0</v>
      </c>
      <c r="K132" s="119">
        <f t="shared" si="32"/>
        <v>0</v>
      </c>
      <c r="L132" s="119">
        <f t="shared" si="32"/>
        <v>0</v>
      </c>
      <c r="M132" s="71"/>
      <c r="N132" s="68">
        <f>H132*tab!F$15</f>
        <v>0</v>
      </c>
      <c r="O132" s="68">
        <f>I132*tab!G$15</f>
        <v>0</v>
      </c>
      <c r="P132" s="68">
        <f>J132*tab!H$15</f>
        <v>0</v>
      </c>
      <c r="Q132" s="68">
        <f>K132*tab!I$15</f>
        <v>0</v>
      </c>
      <c r="R132" s="68">
        <f>L132*tab!J$15</f>
        <v>0</v>
      </c>
      <c r="S132" s="71"/>
      <c r="T132" s="120">
        <v>0</v>
      </c>
      <c r="U132" s="120">
        <f t="shared" si="31"/>
        <v>0</v>
      </c>
      <c r="V132" s="120">
        <f t="shared" si="33"/>
        <v>0</v>
      </c>
      <c r="W132" s="120">
        <f t="shared" si="33"/>
        <v>0</v>
      </c>
      <c r="X132" s="120">
        <f t="shared" si="33"/>
        <v>0</v>
      </c>
      <c r="Y132" s="71"/>
      <c r="Z132" s="68">
        <f>+H132*tab!F$16</f>
        <v>0</v>
      </c>
      <c r="AA132" s="68">
        <f>+I132*tab!G$16</f>
        <v>0</v>
      </c>
      <c r="AB132" s="68">
        <f>+J132*tab!H$16</f>
        <v>0</v>
      </c>
      <c r="AC132" s="68">
        <f>+K132*tab!I$16</f>
        <v>0</v>
      </c>
      <c r="AD132" s="68">
        <f>+L132*tab!J$16</f>
        <v>0</v>
      </c>
      <c r="AE132" s="71"/>
      <c r="AF132" s="153">
        <v>0</v>
      </c>
      <c r="AG132" s="120">
        <f t="shared" si="34"/>
        <v>0</v>
      </c>
      <c r="AH132" s="120">
        <f t="shared" si="34"/>
        <v>0</v>
      </c>
      <c r="AI132" s="120">
        <f t="shared" si="34"/>
        <v>0</v>
      </c>
      <c r="AJ132" s="120">
        <f t="shared" si="34"/>
        <v>0</v>
      </c>
      <c r="AK132" s="92"/>
      <c r="AL132" s="134"/>
    </row>
    <row r="133" spans="2:38" s="113" customFormat="1" x14ac:dyDescent="0.2">
      <c r="B133" s="1073"/>
      <c r="C133" s="150"/>
      <c r="D133" s="50">
        <v>119</v>
      </c>
      <c r="E133" s="151" t="s">
        <v>372</v>
      </c>
      <c r="F133" s="923" t="s">
        <v>312</v>
      </c>
      <c r="G133" s="1088"/>
      <c r="H133" s="925">
        <v>0</v>
      </c>
      <c r="I133" s="119">
        <f t="shared" si="32"/>
        <v>0</v>
      </c>
      <c r="J133" s="119">
        <f t="shared" si="32"/>
        <v>0</v>
      </c>
      <c r="K133" s="119">
        <f t="shared" si="32"/>
        <v>0</v>
      </c>
      <c r="L133" s="119">
        <f t="shared" si="32"/>
        <v>0</v>
      </c>
      <c r="M133" s="71"/>
      <c r="N133" s="68">
        <f>H133*tab!F$15</f>
        <v>0</v>
      </c>
      <c r="O133" s="68">
        <f>I133*tab!G$15</f>
        <v>0</v>
      </c>
      <c r="P133" s="68">
        <f>J133*tab!H$15</f>
        <v>0</v>
      </c>
      <c r="Q133" s="68">
        <f>K133*tab!I$15</f>
        <v>0</v>
      </c>
      <c r="R133" s="68">
        <f>L133*tab!J$15</f>
        <v>0</v>
      </c>
      <c r="S133" s="71"/>
      <c r="T133" s="120">
        <v>0</v>
      </c>
      <c r="U133" s="120">
        <f t="shared" si="31"/>
        <v>0</v>
      </c>
      <c r="V133" s="120">
        <f t="shared" si="33"/>
        <v>0</v>
      </c>
      <c r="W133" s="120">
        <f t="shared" si="33"/>
        <v>0</v>
      </c>
      <c r="X133" s="120">
        <f t="shared" si="33"/>
        <v>0</v>
      </c>
      <c r="Y133" s="71"/>
      <c r="Z133" s="68">
        <f>+H133*tab!F$16</f>
        <v>0</v>
      </c>
      <c r="AA133" s="68">
        <f>+I133*tab!G$16</f>
        <v>0</v>
      </c>
      <c r="AB133" s="68">
        <f>+J133*tab!H$16</f>
        <v>0</v>
      </c>
      <c r="AC133" s="68">
        <f>+K133*tab!I$16</f>
        <v>0</v>
      </c>
      <c r="AD133" s="68">
        <f>+L133*tab!J$16</f>
        <v>0</v>
      </c>
      <c r="AE133" s="71"/>
      <c r="AF133" s="153">
        <v>0</v>
      </c>
      <c r="AG133" s="120">
        <f t="shared" si="34"/>
        <v>0</v>
      </c>
      <c r="AH133" s="120">
        <f t="shared" si="34"/>
        <v>0</v>
      </c>
      <c r="AI133" s="120">
        <f t="shared" si="34"/>
        <v>0</v>
      </c>
      <c r="AJ133" s="120">
        <f t="shared" si="34"/>
        <v>0</v>
      </c>
      <c r="AK133" s="92"/>
      <c r="AL133" s="134"/>
    </row>
    <row r="134" spans="2:38" s="113" customFormat="1" x14ac:dyDescent="0.2">
      <c r="B134" s="1073"/>
      <c r="C134" s="150"/>
      <c r="D134" s="50">
        <v>120</v>
      </c>
      <c r="E134" s="151" t="s">
        <v>373</v>
      </c>
      <c r="F134" s="923" t="s">
        <v>312</v>
      </c>
      <c r="G134" s="1088"/>
      <c r="H134" s="925">
        <v>0</v>
      </c>
      <c r="I134" s="119">
        <f t="shared" si="32"/>
        <v>0</v>
      </c>
      <c r="J134" s="119">
        <f t="shared" si="32"/>
        <v>0</v>
      </c>
      <c r="K134" s="119">
        <f t="shared" si="32"/>
        <v>0</v>
      </c>
      <c r="L134" s="119">
        <f t="shared" si="32"/>
        <v>0</v>
      </c>
      <c r="M134" s="71"/>
      <c r="N134" s="68">
        <f>H134*tab!F$15</f>
        <v>0</v>
      </c>
      <c r="O134" s="68">
        <f>I134*tab!G$15</f>
        <v>0</v>
      </c>
      <c r="P134" s="68">
        <f>J134*tab!H$15</f>
        <v>0</v>
      </c>
      <c r="Q134" s="68">
        <f>K134*tab!I$15</f>
        <v>0</v>
      </c>
      <c r="R134" s="68">
        <f>L134*tab!J$15</f>
        <v>0</v>
      </c>
      <c r="S134" s="71"/>
      <c r="T134" s="120">
        <v>0</v>
      </c>
      <c r="U134" s="120">
        <f t="shared" si="31"/>
        <v>0</v>
      </c>
      <c r="V134" s="120">
        <f t="shared" si="33"/>
        <v>0</v>
      </c>
      <c r="W134" s="120">
        <f t="shared" si="33"/>
        <v>0</v>
      </c>
      <c r="X134" s="120">
        <f t="shared" si="33"/>
        <v>0</v>
      </c>
      <c r="Y134" s="71"/>
      <c r="Z134" s="68">
        <f>+H134*tab!F$16</f>
        <v>0</v>
      </c>
      <c r="AA134" s="68">
        <f>+I134*tab!G$16</f>
        <v>0</v>
      </c>
      <c r="AB134" s="68">
        <f>+J134*tab!H$16</f>
        <v>0</v>
      </c>
      <c r="AC134" s="68">
        <f>+K134*tab!I$16</f>
        <v>0</v>
      </c>
      <c r="AD134" s="68">
        <f>+L134*tab!J$16</f>
        <v>0</v>
      </c>
      <c r="AE134" s="71"/>
      <c r="AF134" s="153">
        <v>0</v>
      </c>
      <c r="AG134" s="120">
        <f t="shared" si="34"/>
        <v>0</v>
      </c>
      <c r="AH134" s="120">
        <f t="shared" si="34"/>
        <v>0</v>
      </c>
      <c r="AI134" s="120">
        <f t="shared" si="34"/>
        <v>0</v>
      </c>
      <c r="AJ134" s="120">
        <f t="shared" si="34"/>
        <v>0</v>
      </c>
      <c r="AK134" s="92"/>
      <c r="AL134" s="134"/>
    </row>
    <row r="135" spans="2:38" s="113" customFormat="1" x14ac:dyDescent="0.2">
      <c r="B135" s="1073"/>
      <c r="C135" s="150"/>
      <c r="D135" s="50">
        <v>121</v>
      </c>
      <c r="E135" s="151" t="s">
        <v>374</v>
      </c>
      <c r="F135" s="923" t="s">
        <v>312</v>
      </c>
      <c r="G135" s="1088"/>
      <c r="H135" s="925">
        <v>0</v>
      </c>
      <c r="I135" s="119">
        <f t="shared" si="32"/>
        <v>0</v>
      </c>
      <c r="J135" s="119">
        <f t="shared" si="32"/>
        <v>0</v>
      </c>
      <c r="K135" s="119">
        <f t="shared" si="32"/>
        <v>0</v>
      </c>
      <c r="L135" s="119">
        <f t="shared" si="32"/>
        <v>0</v>
      </c>
      <c r="M135" s="71"/>
      <c r="N135" s="68">
        <f>H135*tab!F$15</f>
        <v>0</v>
      </c>
      <c r="O135" s="68">
        <f>I135*tab!G$15</f>
        <v>0</v>
      </c>
      <c r="P135" s="68">
        <f>J135*tab!H$15</f>
        <v>0</v>
      </c>
      <c r="Q135" s="68">
        <f>K135*tab!I$15</f>
        <v>0</v>
      </c>
      <c r="R135" s="68">
        <f>L135*tab!J$15</f>
        <v>0</v>
      </c>
      <c r="S135" s="71"/>
      <c r="T135" s="120">
        <v>0</v>
      </c>
      <c r="U135" s="120">
        <f t="shared" si="31"/>
        <v>0</v>
      </c>
      <c r="V135" s="120">
        <f t="shared" si="33"/>
        <v>0</v>
      </c>
      <c r="W135" s="120">
        <f t="shared" si="33"/>
        <v>0</v>
      </c>
      <c r="X135" s="120">
        <f t="shared" si="33"/>
        <v>0</v>
      </c>
      <c r="Y135" s="71"/>
      <c r="Z135" s="68">
        <f>+H135*tab!F$16</f>
        <v>0</v>
      </c>
      <c r="AA135" s="68">
        <f>+I135*tab!G$16</f>
        <v>0</v>
      </c>
      <c r="AB135" s="68">
        <f>+J135*tab!H$16</f>
        <v>0</v>
      </c>
      <c r="AC135" s="68">
        <f>+K135*tab!I$16</f>
        <v>0</v>
      </c>
      <c r="AD135" s="68">
        <f>+L135*tab!J$16</f>
        <v>0</v>
      </c>
      <c r="AE135" s="71"/>
      <c r="AF135" s="153">
        <v>0</v>
      </c>
      <c r="AG135" s="120">
        <f t="shared" si="34"/>
        <v>0</v>
      </c>
      <c r="AH135" s="120">
        <f t="shared" si="34"/>
        <v>0</v>
      </c>
      <c r="AI135" s="120">
        <f t="shared" si="34"/>
        <v>0</v>
      </c>
      <c r="AJ135" s="120">
        <f t="shared" si="34"/>
        <v>0</v>
      </c>
      <c r="AK135" s="92"/>
      <c r="AL135" s="134"/>
    </row>
    <row r="136" spans="2:38" s="113" customFormat="1" x14ac:dyDescent="0.2">
      <c r="B136" s="1073"/>
      <c r="C136" s="150"/>
      <c r="D136" s="50">
        <v>122</v>
      </c>
      <c r="E136" s="151" t="s">
        <v>375</v>
      </c>
      <c r="F136" s="923" t="s">
        <v>312</v>
      </c>
      <c r="G136" s="1088"/>
      <c r="H136" s="925">
        <v>0</v>
      </c>
      <c r="I136" s="119">
        <f t="shared" si="32"/>
        <v>0</v>
      </c>
      <c r="J136" s="119">
        <f t="shared" si="32"/>
        <v>0</v>
      </c>
      <c r="K136" s="119">
        <f t="shared" si="32"/>
        <v>0</v>
      </c>
      <c r="L136" s="119">
        <f t="shared" si="32"/>
        <v>0</v>
      </c>
      <c r="M136" s="71"/>
      <c r="N136" s="68">
        <f>H136*tab!F$15</f>
        <v>0</v>
      </c>
      <c r="O136" s="68">
        <f>I136*tab!G$15</f>
        <v>0</v>
      </c>
      <c r="P136" s="68">
        <f>J136*tab!H$15</f>
        <v>0</v>
      </c>
      <c r="Q136" s="68">
        <f>K136*tab!I$15</f>
        <v>0</v>
      </c>
      <c r="R136" s="68">
        <f>L136*tab!J$15</f>
        <v>0</v>
      </c>
      <c r="S136" s="71"/>
      <c r="T136" s="120">
        <v>0</v>
      </c>
      <c r="U136" s="120">
        <f t="shared" si="31"/>
        <v>0</v>
      </c>
      <c r="V136" s="120">
        <f t="shared" si="33"/>
        <v>0</v>
      </c>
      <c r="W136" s="120">
        <f t="shared" si="33"/>
        <v>0</v>
      </c>
      <c r="X136" s="120">
        <f t="shared" si="33"/>
        <v>0</v>
      </c>
      <c r="Y136" s="71"/>
      <c r="Z136" s="68">
        <f>+H136*tab!F$16</f>
        <v>0</v>
      </c>
      <c r="AA136" s="68">
        <f>+I136*tab!G$16</f>
        <v>0</v>
      </c>
      <c r="AB136" s="68">
        <f>+J136*tab!H$16</f>
        <v>0</v>
      </c>
      <c r="AC136" s="68">
        <f>+K136*tab!I$16</f>
        <v>0</v>
      </c>
      <c r="AD136" s="68">
        <f>+L136*tab!J$16</f>
        <v>0</v>
      </c>
      <c r="AE136" s="71"/>
      <c r="AF136" s="153">
        <v>0</v>
      </c>
      <c r="AG136" s="120">
        <f t="shared" si="34"/>
        <v>0</v>
      </c>
      <c r="AH136" s="120">
        <f t="shared" si="34"/>
        <v>0</v>
      </c>
      <c r="AI136" s="120">
        <f t="shared" si="34"/>
        <v>0</v>
      </c>
      <c r="AJ136" s="120">
        <f t="shared" si="34"/>
        <v>0</v>
      </c>
      <c r="AK136" s="92"/>
      <c r="AL136" s="134"/>
    </row>
    <row r="137" spans="2:38" s="113" customFormat="1" x14ac:dyDescent="0.2">
      <c r="B137" s="1073"/>
      <c r="C137" s="150"/>
      <c r="D137" s="50">
        <v>123</v>
      </c>
      <c r="E137" s="151" t="s">
        <v>376</v>
      </c>
      <c r="F137" s="923" t="s">
        <v>312</v>
      </c>
      <c r="G137" s="1088"/>
      <c r="H137" s="925">
        <v>0</v>
      </c>
      <c r="I137" s="119">
        <f t="shared" ref="I137:L139" si="35">H137</f>
        <v>0</v>
      </c>
      <c r="J137" s="119">
        <f t="shared" si="35"/>
        <v>0</v>
      </c>
      <c r="K137" s="119">
        <f t="shared" si="35"/>
        <v>0</v>
      </c>
      <c r="L137" s="119">
        <f t="shared" si="35"/>
        <v>0</v>
      </c>
      <c r="M137" s="71"/>
      <c r="N137" s="68">
        <f>H137*tab!F$15</f>
        <v>0</v>
      </c>
      <c r="O137" s="68">
        <f>I137*tab!G$15</f>
        <v>0</v>
      </c>
      <c r="P137" s="68">
        <f>J137*tab!H$15</f>
        <v>0</v>
      </c>
      <c r="Q137" s="68">
        <f>K137*tab!I$15</f>
        <v>0</v>
      </c>
      <c r="R137" s="68">
        <f>L137*tab!J$15</f>
        <v>0</v>
      </c>
      <c r="S137" s="71"/>
      <c r="T137" s="120">
        <v>0</v>
      </c>
      <c r="U137" s="120">
        <f t="shared" si="31"/>
        <v>0</v>
      </c>
      <c r="V137" s="120">
        <f t="shared" si="33"/>
        <v>0</v>
      </c>
      <c r="W137" s="120">
        <f t="shared" si="33"/>
        <v>0</v>
      </c>
      <c r="X137" s="120">
        <f t="shared" si="33"/>
        <v>0</v>
      </c>
      <c r="Y137" s="71"/>
      <c r="Z137" s="68">
        <f>+H137*tab!F$16</f>
        <v>0</v>
      </c>
      <c r="AA137" s="68">
        <f>+I137*tab!G$16</f>
        <v>0</v>
      </c>
      <c r="AB137" s="68">
        <f>+J137*tab!H$16</f>
        <v>0</v>
      </c>
      <c r="AC137" s="68">
        <f>+K137*tab!I$16</f>
        <v>0</v>
      </c>
      <c r="AD137" s="68">
        <f>+L137*tab!J$16</f>
        <v>0</v>
      </c>
      <c r="AE137" s="71"/>
      <c r="AF137" s="153">
        <v>0</v>
      </c>
      <c r="AG137" s="120">
        <f t="shared" si="34"/>
        <v>0</v>
      </c>
      <c r="AH137" s="120">
        <f t="shared" si="34"/>
        <v>0</v>
      </c>
      <c r="AI137" s="120">
        <f t="shared" si="34"/>
        <v>0</v>
      </c>
      <c r="AJ137" s="120">
        <f t="shared" si="34"/>
        <v>0</v>
      </c>
      <c r="AK137" s="92"/>
      <c r="AL137" s="134"/>
    </row>
    <row r="138" spans="2:38" s="113" customFormat="1" x14ac:dyDescent="0.2">
      <c r="B138" s="1073"/>
      <c r="C138" s="150"/>
      <c r="D138" s="50">
        <v>124</v>
      </c>
      <c r="E138" s="151" t="s">
        <v>377</v>
      </c>
      <c r="F138" s="923" t="s">
        <v>312</v>
      </c>
      <c r="G138" s="1088"/>
      <c r="H138" s="925">
        <v>0</v>
      </c>
      <c r="I138" s="119">
        <f t="shared" si="35"/>
        <v>0</v>
      </c>
      <c r="J138" s="119">
        <f t="shared" si="35"/>
        <v>0</v>
      </c>
      <c r="K138" s="119">
        <f t="shared" si="35"/>
        <v>0</v>
      </c>
      <c r="L138" s="119">
        <f t="shared" si="35"/>
        <v>0</v>
      </c>
      <c r="M138" s="71"/>
      <c r="N138" s="68">
        <f>H138*tab!F$15</f>
        <v>0</v>
      </c>
      <c r="O138" s="68">
        <f>I138*tab!G$15</f>
        <v>0</v>
      </c>
      <c r="P138" s="68">
        <f>J138*tab!H$15</f>
        <v>0</v>
      </c>
      <c r="Q138" s="68">
        <f>K138*tab!I$15</f>
        <v>0</v>
      </c>
      <c r="R138" s="68">
        <f>L138*tab!J$15</f>
        <v>0</v>
      </c>
      <c r="S138" s="71"/>
      <c r="T138" s="120">
        <v>0</v>
      </c>
      <c r="U138" s="120">
        <f t="shared" si="31"/>
        <v>0</v>
      </c>
      <c r="V138" s="120">
        <f t="shared" si="33"/>
        <v>0</v>
      </c>
      <c r="W138" s="120">
        <f t="shared" si="33"/>
        <v>0</v>
      </c>
      <c r="X138" s="120">
        <f t="shared" si="33"/>
        <v>0</v>
      </c>
      <c r="Y138" s="71"/>
      <c r="Z138" s="68">
        <f>+H138*tab!F$16</f>
        <v>0</v>
      </c>
      <c r="AA138" s="68">
        <f>+I138*tab!G$16</f>
        <v>0</v>
      </c>
      <c r="AB138" s="68">
        <f>+J138*tab!H$16</f>
        <v>0</v>
      </c>
      <c r="AC138" s="68">
        <f>+K138*tab!I$16</f>
        <v>0</v>
      </c>
      <c r="AD138" s="68">
        <f>+L138*tab!J$16</f>
        <v>0</v>
      </c>
      <c r="AE138" s="71"/>
      <c r="AF138" s="153">
        <v>0</v>
      </c>
      <c r="AG138" s="120">
        <f t="shared" si="34"/>
        <v>0</v>
      </c>
      <c r="AH138" s="120">
        <f t="shared" si="34"/>
        <v>0</v>
      </c>
      <c r="AI138" s="120">
        <f t="shared" si="34"/>
        <v>0</v>
      </c>
      <c r="AJ138" s="120">
        <f t="shared" si="34"/>
        <v>0</v>
      </c>
      <c r="AK138" s="92"/>
      <c r="AL138" s="134"/>
    </row>
    <row r="139" spans="2:38" s="113" customFormat="1" x14ac:dyDescent="0.2">
      <c r="B139" s="1073"/>
      <c r="C139" s="150"/>
      <c r="D139" s="50">
        <v>125</v>
      </c>
      <c r="E139" s="151" t="s">
        <v>378</v>
      </c>
      <c r="F139" s="923" t="s">
        <v>312</v>
      </c>
      <c r="G139" s="1088"/>
      <c r="H139" s="925">
        <v>0</v>
      </c>
      <c r="I139" s="119">
        <f t="shared" si="35"/>
        <v>0</v>
      </c>
      <c r="J139" s="119">
        <f t="shared" si="35"/>
        <v>0</v>
      </c>
      <c r="K139" s="119">
        <f t="shared" si="35"/>
        <v>0</v>
      </c>
      <c r="L139" s="119">
        <f t="shared" si="35"/>
        <v>0</v>
      </c>
      <c r="M139" s="71"/>
      <c r="N139" s="68">
        <f>H139*tab!F$15</f>
        <v>0</v>
      </c>
      <c r="O139" s="68">
        <f>I139*tab!G$15</f>
        <v>0</v>
      </c>
      <c r="P139" s="68">
        <f>J139*tab!H$15</f>
        <v>0</v>
      </c>
      <c r="Q139" s="68">
        <f>K139*tab!I$15</f>
        <v>0</v>
      </c>
      <c r="R139" s="68">
        <f>L139*tab!J$15</f>
        <v>0</v>
      </c>
      <c r="S139" s="71"/>
      <c r="T139" s="120">
        <v>0</v>
      </c>
      <c r="U139" s="120">
        <f t="shared" si="31"/>
        <v>0</v>
      </c>
      <c r="V139" s="120">
        <f t="shared" si="33"/>
        <v>0</v>
      </c>
      <c r="W139" s="120">
        <f t="shared" si="33"/>
        <v>0</v>
      </c>
      <c r="X139" s="120">
        <f t="shared" si="33"/>
        <v>0</v>
      </c>
      <c r="Y139" s="71"/>
      <c r="Z139" s="68">
        <f>+H139*tab!F$16</f>
        <v>0</v>
      </c>
      <c r="AA139" s="68">
        <f>+I139*tab!G$16</f>
        <v>0</v>
      </c>
      <c r="AB139" s="68">
        <f>+J139*tab!H$16</f>
        <v>0</v>
      </c>
      <c r="AC139" s="68">
        <f>+K139*tab!I$16</f>
        <v>0</v>
      </c>
      <c r="AD139" s="68">
        <f>+L139*tab!J$16</f>
        <v>0</v>
      </c>
      <c r="AE139" s="71"/>
      <c r="AF139" s="153">
        <v>0</v>
      </c>
      <c r="AG139" s="120">
        <f t="shared" si="34"/>
        <v>0</v>
      </c>
      <c r="AH139" s="120">
        <f>AG139</f>
        <v>0</v>
      </c>
      <c r="AI139" s="120">
        <f t="shared" si="34"/>
        <v>0</v>
      </c>
      <c r="AJ139" s="120">
        <f t="shared" si="34"/>
        <v>0</v>
      </c>
      <c r="AK139" s="92"/>
      <c r="AL139" s="134"/>
    </row>
    <row r="140" spans="2:38" s="113" customFormat="1" x14ac:dyDescent="0.2">
      <c r="B140" s="1073"/>
      <c r="C140" s="150"/>
      <c r="D140" s="50"/>
      <c r="E140" s="1076"/>
      <c r="F140" s="1077"/>
      <c r="G140" s="667"/>
      <c r="H140" s="667"/>
      <c r="I140" s="667"/>
      <c r="J140" s="667"/>
      <c r="K140" s="667"/>
      <c r="L140" s="667"/>
      <c r="M140" s="667"/>
      <c r="N140" s="668"/>
      <c r="O140" s="668"/>
      <c r="P140" s="668"/>
      <c r="Q140" s="668"/>
      <c r="R140" s="668"/>
      <c r="S140" s="667"/>
      <c r="T140" s="1078"/>
      <c r="U140" s="1078"/>
      <c r="V140" s="1078"/>
      <c r="W140" s="1078"/>
      <c r="X140" s="1078"/>
      <c r="Y140" s="667"/>
      <c r="Z140" s="668"/>
      <c r="AA140" s="668"/>
      <c r="AB140" s="668"/>
      <c r="AC140" s="668"/>
      <c r="AD140" s="668"/>
      <c r="AE140" s="667"/>
      <c r="AF140" s="1078"/>
      <c r="AG140" s="1078"/>
      <c r="AH140" s="1078"/>
      <c r="AI140" s="1078"/>
      <c r="AJ140" s="1078"/>
      <c r="AK140" s="1079"/>
      <c r="AL140" s="134"/>
    </row>
    <row r="141" spans="2:38" s="118" customFormat="1" x14ac:dyDescent="0.2">
      <c r="B141" s="1080"/>
      <c r="C141" s="1081"/>
      <c r="D141" s="647" t="s">
        <v>440</v>
      </c>
      <c r="E141" s="93"/>
      <c r="F141" s="1082"/>
      <c r="G141" s="46"/>
      <c r="H141" s="46">
        <f t="shared" ref="H141:L141" si="36">SUM(H15:H139)</f>
        <v>0</v>
      </c>
      <c r="I141" s="46">
        <f t="shared" si="36"/>
        <v>0</v>
      </c>
      <c r="J141" s="46">
        <f t="shared" si="36"/>
        <v>0</v>
      </c>
      <c r="K141" s="46">
        <f t="shared" si="36"/>
        <v>0</v>
      </c>
      <c r="L141" s="46">
        <f t="shared" si="36"/>
        <v>0</v>
      </c>
      <c r="M141" s="66"/>
      <c r="N141" s="1083">
        <f t="shared" ref="N141:R141" si="37">ROUND(SUM(N15:N139),0)</f>
        <v>0</v>
      </c>
      <c r="O141" s="1083">
        <f t="shared" si="37"/>
        <v>0</v>
      </c>
      <c r="P141" s="1083">
        <f t="shared" si="37"/>
        <v>0</v>
      </c>
      <c r="Q141" s="1083">
        <f t="shared" si="37"/>
        <v>0</v>
      </c>
      <c r="R141" s="1083">
        <f t="shared" si="37"/>
        <v>0</v>
      </c>
      <c r="S141" s="66"/>
      <c r="T141" s="1084">
        <f>SUM(T15:T139)</f>
        <v>0</v>
      </c>
      <c r="U141" s="1084">
        <f t="shared" ref="U141:X141" si="38">SUM(U15:U139)</f>
        <v>0</v>
      </c>
      <c r="V141" s="1084">
        <f t="shared" si="38"/>
        <v>0</v>
      </c>
      <c r="W141" s="1084">
        <f t="shared" si="38"/>
        <v>0</v>
      </c>
      <c r="X141" s="1084">
        <f t="shared" si="38"/>
        <v>0</v>
      </c>
      <c r="Y141" s="66"/>
      <c r="Z141" s="1083">
        <f t="shared" ref="Z141:AD141" si="39">SUM(Z15:Z139)</f>
        <v>0</v>
      </c>
      <c r="AA141" s="1083">
        <f t="shared" si="39"/>
        <v>0</v>
      </c>
      <c r="AB141" s="1083">
        <f t="shared" si="39"/>
        <v>0</v>
      </c>
      <c r="AC141" s="1083">
        <f t="shared" si="39"/>
        <v>0</v>
      </c>
      <c r="AD141" s="1083">
        <f t="shared" si="39"/>
        <v>0</v>
      </c>
      <c r="AE141" s="66"/>
      <c r="AF141" s="1083">
        <f t="shared" ref="AF141:AJ141" si="40">SUM(AF15:AF139)</f>
        <v>0</v>
      </c>
      <c r="AG141" s="1083">
        <f t="shared" si="40"/>
        <v>0</v>
      </c>
      <c r="AH141" s="1083">
        <f t="shared" si="40"/>
        <v>0</v>
      </c>
      <c r="AI141" s="1083">
        <f t="shared" si="40"/>
        <v>0</v>
      </c>
      <c r="AJ141" s="1083">
        <f t="shared" si="40"/>
        <v>0</v>
      </c>
      <c r="AK141" s="1085"/>
      <c r="AL141" s="30"/>
    </row>
    <row r="142" spans="2:38" x14ac:dyDescent="0.2">
      <c r="B142" s="989"/>
      <c r="C142" s="516"/>
      <c r="D142" s="50"/>
      <c r="E142" s="50"/>
      <c r="F142" s="398"/>
      <c r="G142" s="71"/>
      <c r="H142" s="71"/>
      <c r="I142" s="71"/>
      <c r="J142" s="71"/>
      <c r="K142" s="71"/>
      <c r="L142" s="71"/>
      <c r="M142" s="71"/>
      <c r="N142" s="191"/>
      <c r="O142" s="191"/>
      <c r="P142" s="191"/>
      <c r="Q142" s="191"/>
      <c r="R142" s="191"/>
      <c r="S142" s="71"/>
      <c r="T142" s="191"/>
      <c r="U142" s="191"/>
      <c r="V142" s="191"/>
      <c r="W142" s="191"/>
      <c r="X142" s="191"/>
      <c r="Y142" s="71"/>
      <c r="Z142" s="191"/>
      <c r="AA142" s="191"/>
      <c r="AB142" s="191"/>
      <c r="AC142" s="191"/>
      <c r="AD142" s="191"/>
      <c r="AE142" s="71"/>
      <c r="AF142" s="191"/>
      <c r="AG142" s="191"/>
      <c r="AH142" s="191"/>
      <c r="AI142" s="669"/>
      <c r="AJ142" s="669"/>
      <c r="AK142" s="669"/>
      <c r="AL142" s="78"/>
    </row>
    <row r="143" spans="2:38" x14ac:dyDescent="0.2">
      <c r="B143" s="989"/>
      <c r="C143" s="77"/>
      <c r="D143" s="121"/>
      <c r="E143" s="121"/>
      <c r="F143" s="122"/>
      <c r="G143" s="70"/>
      <c r="H143" s="70"/>
      <c r="I143" s="70"/>
      <c r="J143" s="70"/>
      <c r="K143" s="70"/>
      <c r="L143" s="70"/>
      <c r="M143" s="70"/>
      <c r="N143" s="77"/>
      <c r="O143" s="77"/>
      <c r="P143" s="77"/>
      <c r="Q143" s="77"/>
      <c r="R143" s="77"/>
      <c r="S143" s="70"/>
      <c r="T143" s="77"/>
      <c r="U143" s="77"/>
      <c r="V143" s="77"/>
      <c r="W143" s="77"/>
      <c r="X143" s="77"/>
      <c r="Y143" s="70"/>
      <c r="Z143" s="77"/>
      <c r="AA143" s="77"/>
      <c r="AB143" s="77"/>
      <c r="AC143" s="77"/>
      <c r="AD143" s="77"/>
      <c r="AE143" s="70"/>
      <c r="AF143" s="77"/>
      <c r="AG143" s="77"/>
      <c r="AH143" s="77"/>
      <c r="AI143" s="77"/>
      <c r="AJ143" s="77"/>
      <c r="AK143" s="77"/>
      <c r="AL143" s="78"/>
    </row>
    <row r="144" spans="2:38" x14ac:dyDescent="0.2">
      <c r="B144" s="86"/>
      <c r="C144" s="83"/>
      <c r="D144" s="135"/>
      <c r="E144" s="135"/>
      <c r="F144" s="136"/>
      <c r="G144" s="84"/>
      <c r="H144" s="84"/>
      <c r="I144" s="84"/>
      <c r="J144" s="84"/>
      <c r="K144" s="84"/>
      <c r="L144" s="84"/>
      <c r="M144" s="84"/>
      <c r="N144" s="83"/>
      <c r="O144" s="83"/>
      <c r="P144" s="83"/>
      <c r="Q144" s="83"/>
      <c r="R144" s="83"/>
      <c r="S144" s="84"/>
      <c r="T144" s="83"/>
      <c r="U144" s="83"/>
      <c r="V144" s="83"/>
      <c r="W144" s="83"/>
      <c r="X144" s="83"/>
      <c r="Y144" s="84"/>
      <c r="Z144" s="83"/>
      <c r="AA144" s="83"/>
      <c r="AB144" s="83"/>
      <c r="AC144" s="83"/>
      <c r="AD144" s="83"/>
      <c r="AE144" s="84"/>
      <c r="AF144" s="83"/>
      <c r="AG144" s="83"/>
      <c r="AH144" s="83"/>
      <c r="AI144" s="83"/>
      <c r="AJ144" s="83"/>
      <c r="AK144" s="83"/>
      <c r="AL144" s="85"/>
    </row>
    <row r="147" spans="4:31" s="114" customFormat="1" x14ac:dyDescent="0.2">
      <c r="D147" s="115"/>
      <c r="E147" s="115"/>
      <c r="F147" s="116"/>
      <c r="G147" s="117"/>
      <c r="H147" s="117"/>
      <c r="I147" s="117"/>
      <c r="J147" s="117"/>
      <c r="K147" s="117"/>
      <c r="L147" s="117"/>
      <c r="M147" s="117"/>
      <c r="S147" s="117"/>
      <c r="Y147" s="117"/>
      <c r="AE147" s="117"/>
    </row>
    <row r="157" spans="4:31" s="114" customFormat="1" x14ac:dyDescent="0.2">
      <c r="D157" s="115"/>
      <c r="E157" s="115"/>
      <c r="F157" s="116"/>
      <c r="G157" s="117"/>
      <c r="H157" s="117"/>
      <c r="I157" s="117"/>
      <c r="J157" s="117"/>
      <c r="K157" s="117"/>
      <c r="L157" s="117"/>
      <c r="M157" s="117"/>
      <c r="S157" s="117"/>
      <c r="Y157" s="117"/>
      <c r="AE157" s="117"/>
    </row>
    <row r="162" spans="4:31" s="114" customFormat="1" x14ac:dyDescent="0.2">
      <c r="D162" s="115"/>
      <c r="E162" s="115"/>
      <c r="F162" s="116"/>
      <c r="G162" s="117"/>
      <c r="H162" s="117"/>
      <c r="I162" s="117"/>
      <c r="J162" s="117"/>
      <c r="K162" s="117"/>
      <c r="L162" s="117"/>
      <c r="M162" s="117"/>
      <c r="S162" s="117"/>
      <c r="Y162" s="117"/>
      <c r="AE162" s="117"/>
    </row>
    <row r="167" spans="4:31" s="114" customFormat="1" x14ac:dyDescent="0.2">
      <c r="D167" s="115"/>
      <c r="E167" s="115"/>
      <c r="F167" s="116"/>
      <c r="G167" s="117"/>
      <c r="H167" s="117"/>
      <c r="I167" s="117"/>
      <c r="J167" s="117"/>
      <c r="K167" s="117"/>
      <c r="L167" s="117"/>
      <c r="M167" s="117"/>
      <c r="S167" s="117"/>
      <c r="Y167" s="117"/>
      <c r="AE167" s="117"/>
    </row>
    <row r="172" spans="4:31" s="114" customFormat="1" x14ac:dyDescent="0.2">
      <c r="D172" s="115"/>
      <c r="E172" s="115"/>
      <c r="F172" s="116"/>
      <c r="G172" s="117"/>
      <c r="H172" s="117"/>
      <c r="I172" s="117"/>
      <c r="J172" s="117"/>
      <c r="K172" s="117"/>
      <c r="L172" s="117"/>
      <c r="M172" s="117"/>
      <c r="S172" s="117"/>
      <c r="Y172" s="117"/>
      <c r="AE172" s="117"/>
    </row>
    <row r="177" spans="4:31" s="114" customFormat="1" x14ac:dyDescent="0.2">
      <c r="D177" s="115"/>
      <c r="E177" s="115"/>
      <c r="F177" s="116"/>
      <c r="G177" s="117"/>
      <c r="H177" s="117"/>
      <c r="I177" s="117"/>
      <c r="J177" s="117"/>
      <c r="K177" s="117"/>
      <c r="L177" s="117"/>
      <c r="M177" s="117"/>
      <c r="S177" s="117"/>
      <c r="Y177" s="117"/>
      <c r="AE177" s="117"/>
    </row>
    <row r="182" spans="4:31" s="114" customFormat="1" x14ac:dyDescent="0.2">
      <c r="D182" s="115"/>
      <c r="E182" s="115"/>
      <c r="F182" s="116"/>
      <c r="G182" s="117"/>
      <c r="H182" s="117"/>
      <c r="I182" s="117"/>
      <c r="J182" s="117"/>
      <c r="K182" s="117"/>
      <c r="L182" s="117"/>
      <c r="M182" s="117"/>
      <c r="S182" s="117"/>
      <c r="Y182" s="117"/>
      <c r="AE182" s="117"/>
    </row>
    <row r="193" spans="4:31" s="114" customFormat="1" x14ac:dyDescent="0.2">
      <c r="D193" s="115"/>
      <c r="E193" s="115"/>
      <c r="F193" s="116"/>
      <c r="G193" s="117"/>
      <c r="H193" s="117"/>
      <c r="I193" s="117"/>
      <c r="J193" s="117"/>
      <c r="K193" s="117"/>
      <c r="L193" s="117"/>
      <c r="M193" s="117"/>
      <c r="S193" s="117"/>
      <c r="Y193" s="117"/>
      <c r="AE193" s="117"/>
    </row>
    <row r="198" spans="4:31" s="114" customFormat="1" x14ac:dyDescent="0.2">
      <c r="D198" s="115"/>
      <c r="E198" s="115"/>
      <c r="F198" s="116"/>
      <c r="G198" s="117"/>
      <c r="H198" s="117"/>
      <c r="I198" s="117"/>
      <c r="J198" s="117"/>
      <c r="K198" s="117"/>
      <c r="L198" s="117"/>
      <c r="M198" s="117"/>
      <c r="S198" s="117"/>
      <c r="Y198" s="117"/>
      <c r="AE198" s="117"/>
    </row>
    <row r="203" spans="4:31" s="114" customFormat="1" x14ac:dyDescent="0.2">
      <c r="D203" s="115"/>
      <c r="E203" s="115"/>
      <c r="F203" s="116"/>
      <c r="G203" s="117"/>
      <c r="H203" s="117"/>
      <c r="I203" s="117"/>
      <c r="J203" s="117"/>
      <c r="K203" s="117"/>
      <c r="L203" s="117"/>
      <c r="M203" s="117"/>
      <c r="S203" s="117"/>
      <c r="Y203" s="117"/>
      <c r="AE203" s="117"/>
    </row>
    <row r="208" spans="4:31" s="114" customFormat="1" x14ac:dyDescent="0.2">
      <c r="D208" s="115"/>
      <c r="E208" s="115"/>
      <c r="F208" s="116"/>
      <c r="G208" s="117"/>
      <c r="H208" s="117"/>
      <c r="I208" s="117"/>
      <c r="J208" s="117"/>
      <c r="K208" s="117"/>
      <c r="L208" s="117"/>
      <c r="M208" s="117"/>
      <c r="S208" s="117"/>
      <c r="Y208" s="117"/>
      <c r="AE208" s="117"/>
    </row>
    <row r="213" spans="4:31" s="114" customFormat="1" x14ac:dyDescent="0.2">
      <c r="D213" s="115"/>
      <c r="E213" s="115"/>
      <c r="F213" s="116"/>
      <c r="G213" s="117"/>
      <c r="H213" s="117"/>
      <c r="I213" s="117"/>
      <c r="J213" s="117"/>
      <c r="K213" s="117"/>
      <c r="L213" s="117"/>
      <c r="M213" s="117"/>
      <c r="S213" s="117"/>
      <c r="Y213" s="117"/>
      <c r="AE213" s="117"/>
    </row>
    <row r="216" spans="4:31" x14ac:dyDescent="0.2">
      <c r="D216" s="115"/>
      <c r="E216" s="115"/>
      <c r="F216" s="116"/>
      <c r="G216" s="117"/>
      <c r="H216" s="117"/>
      <c r="M216" s="117"/>
      <c r="S216" s="117"/>
      <c r="Y216" s="117"/>
      <c r="AE216" s="117"/>
    </row>
    <row r="217" spans="4:31" x14ac:dyDescent="0.2">
      <c r="D217" s="115"/>
      <c r="E217" s="115"/>
      <c r="F217" s="116"/>
      <c r="G217" s="117"/>
      <c r="H217" s="117"/>
      <c r="M217" s="117"/>
      <c r="S217" s="117"/>
      <c r="Y217" s="117"/>
      <c r="AE217" s="117"/>
    </row>
    <row r="218" spans="4:31" s="114" customFormat="1" x14ac:dyDescent="0.2">
      <c r="D218" s="115"/>
      <c r="E218" s="115"/>
      <c r="F218" s="116"/>
      <c r="G218" s="117"/>
      <c r="H218" s="117"/>
      <c r="I218" s="117"/>
      <c r="J218" s="117"/>
      <c r="K218" s="117"/>
      <c r="L218" s="117"/>
      <c r="M218" s="117"/>
      <c r="S218" s="117"/>
      <c r="Y218" s="117"/>
      <c r="AE218" s="117"/>
    </row>
  </sheetData>
  <sheetProtection algorithmName="SHA-512" hashValue="PZjSTOUt/dmCEhtj4EltFpZq8vfODBSx+vAZ8IA0oa9z+2fZW1KtXye94JKAFn2tP+6CjVIPhTJtTB1LBvdkhQ==" saltValue="/WbBQW3zloPXD/Di4+Jx8Q==" spinCount="100000" sheet="1" objects="1" scenarios="1"/>
  <pageMargins left="0.70866141732283472" right="0.70866141732283472" top="0.74803149606299213" bottom="0.74803149606299213" header="0.31496062992125984" footer="0.31496062992125984"/>
  <pageSetup paperSize="9" scale="27" orientation="landscape" r:id="rId1"/>
  <rowBreaks count="1" manualBreakCount="1">
    <brk id="144" min="1" max="58" man="1"/>
  </rowBreaks>
  <colBreaks count="1" manualBreakCount="1">
    <brk id="18" min="1" max="143"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218"/>
  <sheetViews>
    <sheetView zoomScale="85" zoomScaleNormal="85" workbookViewId="0">
      <selection activeCell="B2" sqref="B2"/>
    </sheetView>
  </sheetViews>
  <sheetFormatPr defaultRowHeight="12.75" x14ac:dyDescent="0.2"/>
  <cols>
    <col min="1" max="1" width="3.7109375" style="110" customWidth="1"/>
    <col min="2" max="3" width="2.7109375" style="110" customWidth="1"/>
    <col min="4" max="4" width="4.5703125" style="111" customWidth="1"/>
    <col min="5" max="5" width="25.7109375" style="111" customWidth="1"/>
    <col min="6" max="6" width="8" style="112" customWidth="1"/>
    <col min="7" max="12" width="8.7109375" style="113" customWidth="1"/>
    <col min="13" max="13" width="1.7109375" style="113" customWidth="1"/>
    <col min="14" max="17" width="12.7109375" style="110" customWidth="1"/>
    <col min="18" max="18" width="12.85546875" style="113" customWidth="1"/>
    <col min="19" max="19" width="12.7109375" style="110" customWidth="1"/>
    <col min="20" max="20" width="1.42578125" style="110" customWidth="1"/>
    <col min="21" max="24" width="12.7109375" style="110" customWidth="1"/>
    <col min="25" max="25" width="12.85546875" style="113" customWidth="1"/>
    <col min="26" max="26" width="13" style="113" customWidth="1"/>
    <col min="27" max="27" width="1.140625" style="110" customWidth="1"/>
    <col min="28" max="30" width="12.7109375" style="110" customWidth="1"/>
    <col min="31" max="31" width="12.85546875" style="113" customWidth="1"/>
    <col min="32" max="32" width="13.42578125" style="113" customWidth="1"/>
    <col min="33" max="33" width="1.140625" style="110" customWidth="1"/>
    <col min="34" max="38" width="12.7109375" style="110" customWidth="1"/>
    <col min="39" max="39" width="2.5703125" style="110" customWidth="1"/>
    <col min="40" max="16384" width="9.140625" style="110"/>
  </cols>
  <sheetData>
    <row r="2" spans="2:39" x14ac:dyDescent="0.2">
      <c r="B2" s="72"/>
      <c r="C2" s="73"/>
      <c r="D2" s="127"/>
      <c r="E2" s="127"/>
      <c r="F2" s="128"/>
      <c r="G2" s="74"/>
      <c r="H2" s="74"/>
      <c r="I2" s="74"/>
      <c r="J2" s="74"/>
      <c r="K2" s="74"/>
      <c r="L2" s="74"/>
      <c r="M2" s="74"/>
      <c r="N2" s="73"/>
      <c r="O2" s="73"/>
      <c r="P2" s="73"/>
      <c r="Q2" s="73"/>
      <c r="R2" s="74"/>
      <c r="S2" s="129"/>
      <c r="T2" s="73"/>
      <c r="U2" s="73"/>
      <c r="V2" s="73"/>
      <c r="W2" s="73"/>
      <c r="X2" s="73"/>
      <c r="Y2" s="74"/>
      <c r="Z2" s="74"/>
      <c r="AA2" s="73"/>
      <c r="AB2" s="73"/>
      <c r="AC2" s="73"/>
      <c r="AD2" s="73"/>
      <c r="AE2" s="74"/>
      <c r="AF2" s="74"/>
      <c r="AG2" s="73"/>
      <c r="AH2" s="73"/>
      <c r="AI2" s="73"/>
      <c r="AJ2" s="73"/>
      <c r="AK2" s="73"/>
      <c r="AL2" s="73"/>
      <c r="AM2" s="75"/>
    </row>
    <row r="3" spans="2:39" x14ac:dyDescent="0.2">
      <c r="B3" s="76"/>
      <c r="C3" s="77"/>
      <c r="D3" s="121"/>
      <c r="E3" s="121"/>
      <c r="F3" s="122"/>
      <c r="G3" s="70"/>
      <c r="H3" s="70"/>
      <c r="I3" s="70"/>
      <c r="J3" s="70"/>
      <c r="K3" s="70"/>
      <c r="L3" s="70"/>
      <c r="M3" s="70"/>
      <c r="N3" s="77"/>
      <c r="O3" s="77"/>
      <c r="P3" s="77"/>
      <c r="Q3" s="77"/>
      <c r="R3" s="70"/>
      <c r="S3" s="57"/>
      <c r="T3" s="77"/>
      <c r="U3" s="77"/>
      <c r="V3" s="77"/>
      <c r="W3" s="77"/>
      <c r="X3" s="77"/>
      <c r="Y3" s="70"/>
      <c r="Z3" s="70"/>
      <c r="AA3" s="77"/>
      <c r="AB3" s="77"/>
      <c r="AC3" s="77"/>
      <c r="AD3" s="77"/>
      <c r="AE3" s="70"/>
      <c r="AF3" s="70"/>
      <c r="AG3" s="77"/>
      <c r="AH3" s="77"/>
      <c r="AI3" s="77"/>
      <c r="AJ3" s="77"/>
      <c r="AK3" s="77"/>
      <c r="AL3" s="77"/>
      <c r="AM3" s="78"/>
    </row>
    <row r="4" spans="2:39" s="10" customFormat="1" ht="18.75" x14ac:dyDescent="0.3">
      <c r="B4" s="130"/>
      <c r="C4" s="55" t="s">
        <v>421</v>
      </c>
      <c r="D4" s="88"/>
      <c r="E4" s="58"/>
      <c r="F4" s="123"/>
      <c r="G4" s="87"/>
      <c r="H4" s="87"/>
      <c r="I4" s="87"/>
      <c r="J4" s="87"/>
      <c r="K4" s="87"/>
      <c r="L4" s="87"/>
      <c r="M4" s="87"/>
      <c r="N4" s="58"/>
      <c r="O4" s="58"/>
      <c r="P4" s="58"/>
      <c r="Q4" s="58"/>
      <c r="R4" s="87"/>
      <c r="S4" s="58"/>
      <c r="T4" s="58"/>
      <c r="U4" s="58"/>
      <c r="V4" s="58"/>
      <c r="W4" s="58"/>
      <c r="X4" s="58"/>
      <c r="Y4" s="87"/>
      <c r="Z4" s="87"/>
      <c r="AA4" s="58"/>
      <c r="AB4" s="58"/>
      <c r="AC4" s="58"/>
      <c r="AD4" s="58"/>
      <c r="AE4" s="87"/>
      <c r="AF4" s="87"/>
      <c r="AG4" s="58"/>
      <c r="AH4" s="58"/>
      <c r="AI4" s="58"/>
      <c r="AJ4" s="58"/>
      <c r="AK4" s="58"/>
      <c r="AL4" s="58"/>
      <c r="AM4" s="89"/>
    </row>
    <row r="5" spans="2:39" s="114" customFormat="1" x14ac:dyDescent="0.2">
      <c r="B5" s="80"/>
      <c r="C5" s="64" t="s">
        <v>305</v>
      </c>
      <c r="D5" s="124"/>
      <c r="E5" s="57"/>
      <c r="F5" s="125"/>
      <c r="G5" s="126"/>
      <c r="H5" s="126"/>
      <c r="I5" s="126"/>
      <c r="J5" s="126"/>
      <c r="K5" s="126"/>
      <c r="L5" s="126"/>
      <c r="M5" s="126"/>
      <c r="N5" s="57"/>
      <c r="O5" s="57"/>
      <c r="P5" s="57"/>
      <c r="Q5" s="57"/>
      <c r="R5" s="126"/>
      <c r="S5" s="57"/>
      <c r="T5" s="57"/>
      <c r="U5" s="57"/>
      <c r="V5" s="57"/>
      <c r="W5" s="57"/>
      <c r="X5" s="57"/>
      <c r="Y5" s="126"/>
      <c r="Z5" s="126"/>
      <c r="AA5" s="57"/>
      <c r="AB5" s="57"/>
      <c r="AC5" s="57"/>
      <c r="AD5" s="57"/>
      <c r="AE5" s="126"/>
      <c r="AF5" s="126"/>
      <c r="AG5" s="57"/>
      <c r="AH5" s="57"/>
      <c r="AI5" s="57"/>
      <c r="AJ5" s="57"/>
      <c r="AK5" s="57"/>
      <c r="AL5" s="57"/>
      <c r="AM5" s="91"/>
    </row>
    <row r="6" spans="2:39" s="114" customFormat="1" x14ac:dyDescent="0.2">
      <c r="B6" s="80"/>
      <c r="C6" s="124"/>
      <c r="D6" s="124"/>
      <c r="E6" s="57"/>
      <c r="F6" s="125"/>
      <c r="G6" s="126"/>
      <c r="H6" s="126"/>
      <c r="I6" s="126"/>
      <c r="J6" s="126"/>
      <c r="K6" s="126"/>
      <c r="L6" s="126"/>
      <c r="M6" s="126"/>
      <c r="N6" s="57"/>
      <c r="O6" s="57"/>
      <c r="P6" s="57"/>
      <c r="Q6" s="57"/>
      <c r="R6" s="126"/>
      <c r="S6" s="57"/>
      <c r="T6" s="57"/>
      <c r="U6" s="57"/>
      <c r="V6" s="57"/>
      <c r="W6" s="57"/>
      <c r="X6" s="57"/>
      <c r="Y6" s="126"/>
      <c r="Z6" s="126"/>
      <c r="AA6" s="57"/>
      <c r="AB6" s="57"/>
      <c r="AC6" s="57"/>
      <c r="AD6" s="57"/>
      <c r="AE6" s="126"/>
      <c r="AF6" s="126"/>
      <c r="AG6" s="57"/>
      <c r="AH6" s="57"/>
      <c r="AI6" s="57"/>
      <c r="AJ6" s="57"/>
      <c r="AK6" s="57"/>
      <c r="AL6" s="57"/>
      <c r="AM6" s="91"/>
    </row>
    <row r="7" spans="2:39" s="114" customFormat="1" x14ac:dyDescent="0.2">
      <c r="B7" s="80"/>
      <c r="C7" s="124"/>
      <c r="D7" s="124"/>
      <c r="E7" s="57"/>
      <c r="F7" s="125"/>
      <c r="G7" s="126"/>
      <c r="H7" s="126"/>
      <c r="I7" s="126"/>
      <c r="J7" s="126"/>
      <c r="K7" s="126"/>
      <c r="L7" s="126"/>
      <c r="M7" s="126"/>
      <c r="N7" s="57"/>
      <c r="O7" s="57"/>
      <c r="P7" s="57"/>
      <c r="Q7" s="57"/>
      <c r="R7" s="126"/>
      <c r="S7" s="57"/>
      <c r="T7" s="57"/>
      <c r="U7" s="57"/>
      <c r="V7" s="57"/>
      <c r="W7" s="57"/>
      <c r="X7" s="57"/>
      <c r="Y7" s="126"/>
      <c r="Z7" s="126"/>
      <c r="AA7" s="57"/>
      <c r="AB7" s="57"/>
      <c r="AC7" s="57"/>
      <c r="AD7" s="57"/>
      <c r="AE7" s="126"/>
      <c r="AF7" s="126"/>
      <c r="AG7" s="57"/>
      <c r="AH7" s="57"/>
      <c r="AI7" s="57"/>
      <c r="AJ7" s="57"/>
      <c r="AK7" s="57"/>
      <c r="AL7" s="57"/>
      <c r="AM7" s="91"/>
    </row>
    <row r="8" spans="2:39" x14ac:dyDescent="0.2">
      <c r="B8" s="76"/>
      <c r="C8" s="77"/>
      <c r="D8" s="121"/>
      <c r="E8" s="155" t="s">
        <v>306</v>
      </c>
      <c r="F8" s="156" t="s">
        <v>307</v>
      </c>
      <c r="G8" s="52"/>
      <c r="H8" s="157" t="s">
        <v>707</v>
      </c>
      <c r="I8" s="52"/>
      <c r="J8" s="52"/>
      <c r="K8" s="52"/>
      <c r="L8" s="52"/>
      <c r="M8" s="52"/>
      <c r="N8" s="59" t="s">
        <v>308</v>
      </c>
      <c r="O8" s="44"/>
      <c r="P8" s="44"/>
      <c r="Q8" s="44"/>
      <c r="R8" s="44"/>
      <c r="S8" s="44"/>
      <c r="T8" s="52"/>
      <c r="U8" s="59" t="s">
        <v>309</v>
      </c>
      <c r="V8" s="44"/>
      <c r="W8" s="44"/>
      <c r="X8" s="44"/>
      <c r="Y8" s="44"/>
      <c r="Z8" s="44"/>
      <c r="AA8" s="52"/>
      <c r="AB8" s="59" t="s">
        <v>310</v>
      </c>
      <c r="AC8" s="44"/>
      <c r="AD8" s="44"/>
      <c r="AE8" s="44"/>
      <c r="AF8" s="44"/>
      <c r="AG8" s="52"/>
      <c r="AH8" s="59" t="s">
        <v>311</v>
      </c>
      <c r="AI8" s="77"/>
      <c r="AJ8" s="77"/>
      <c r="AK8" s="77"/>
      <c r="AL8" s="77"/>
      <c r="AM8" s="78"/>
    </row>
    <row r="9" spans="2:39" s="11" customFormat="1" x14ac:dyDescent="0.2">
      <c r="B9" s="62"/>
      <c r="C9" s="56"/>
      <c r="D9" s="64"/>
      <c r="E9" s="95"/>
      <c r="F9" s="158"/>
      <c r="G9" s="94"/>
      <c r="H9" s="95" t="s">
        <v>620</v>
      </c>
      <c r="I9" s="94"/>
      <c r="J9" s="94"/>
      <c r="K9" s="94"/>
      <c r="L9" s="94"/>
      <c r="M9" s="94"/>
      <c r="N9" s="154"/>
      <c r="O9" s="154"/>
      <c r="P9" s="154"/>
      <c r="Q9" s="154"/>
      <c r="R9" s="154"/>
      <c r="S9" s="154"/>
      <c r="T9" s="94"/>
      <c r="U9" s="154"/>
      <c r="V9" s="154"/>
      <c r="W9" s="154"/>
      <c r="X9" s="154"/>
      <c r="Y9" s="154"/>
      <c r="Z9" s="154"/>
      <c r="AA9" s="94"/>
      <c r="AB9" s="154"/>
      <c r="AC9" s="154"/>
      <c r="AD9" s="154"/>
      <c r="AE9" s="154"/>
      <c r="AF9" s="154"/>
      <c r="AG9" s="94"/>
      <c r="AH9" s="154"/>
      <c r="AI9" s="56"/>
      <c r="AJ9" s="56"/>
      <c r="AK9" s="56"/>
      <c r="AL9" s="56"/>
      <c r="AM9" s="63"/>
    </row>
    <row r="10" spans="2:39" s="12" customFormat="1" x14ac:dyDescent="0.2">
      <c r="B10" s="131"/>
      <c r="C10" s="54"/>
      <c r="D10" s="53"/>
      <c r="E10" s="61"/>
      <c r="F10" s="156"/>
      <c r="G10" s="1086">
        <f>tab!E4-1</f>
        <v>2014</v>
      </c>
      <c r="H10" s="1086">
        <f>tab!F4-1</f>
        <v>2015</v>
      </c>
      <c r="I10" s="1086">
        <f>tab!G4-1</f>
        <v>2016</v>
      </c>
      <c r="J10" s="1086">
        <f>tab!H4-1</f>
        <v>2017</v>
      </c>
      <c r="K10" s="1086">
        <f>tab!I4-1</f>
        <v>2018</v>
      </c>
      <c r="L10" s="1086">
        <f>tab!J4-1</f>
        <v>2019</v>
      </c>
      <c r="M10" s="61"/>
      <c r="N10" s="45" t="str">
        <f>tab!E2</f>
        <v>2015/16</v>
      </c>
      <c r="O10" s="45" t="str">
        <f>tab!F2</f>
        <v>2016/17</v>
      </c>
      <c r="P10" s="45" t="str">
        <f>tab!G2</f>
        <v>2017/18</v>
      </c>
      <c r="Q10" s="45" t="str">
        <f>tab!H2</f>
        <v>2018/19</v>
      </c>
      <c r="R10" s="45" t="str">
        <f>tab!I2</f>
        <v>2019/20</v>
      </c>
      <c r="S10" s="45" t="str">
        <f>tab!J2</f>
        <v>2020/21</v>
      </c>
      <c r="T10" s="61"/>
      <c r="U10" s="45" t="str">
        <f>tab!E2</f>
        <v>2015/16</v>
      </c>
      <c r="V10" s="45" t="str">
        <f>tab!F2</f>
        <v>2016/17</v>
      </c>
      <c r="W10" s="45" t="str">
        <f>tab!G2</f>
        <v>2017/18</v>
      </c>
      <c r="X10" s="45" t="str">
        <f>tab!H2</f>
        <v>2018/19</v>
      </c>
      <c r="Y10" s="45" t="str">
        <f>tab!I2</f>
        <v>2019/20</v>
      </c>
      <c r="Z10" s="45" t="str">
        <f>tab!J2</f>
        <v>2020/21</v>
      </c>
      <c r="AA10" s="61"/>
      <c r="AB10" s="61">
        <f>tab!F4</f>
        <v>2016</v>
      </c>
      <c r="AC10" s="61">
        <f>tab!G4</f>
        <v>2017</v>
      </c>
      <c r="AD10" s="61">
        <f>tab!H4</f>
        <v>2018</v>
      </c>
      <c r="AE10" s="61">
        <f>tab!I4</f>
        <v>2019</v>
      </c>
      <c r="AF10" s="61">
        <f>tab!J4</f>
        <v>2020</v>
      </c>
      <c r="AG10" s="61"/>
      <c r="AH10" s="61">
        <f>tab!F4</f>
        <v>2016</v>
      </c>
      <c r="AI10" s="61">
        <f>tab!G4</f>
        <v>2017</v>
      </c>
      <c r="AJ10" s="61">
        <f>tab!H4</f>
        <v>2018</v>
      </c>
      <c r="AK10" s="61">
        <f>tab!I4</f>
        <v>2019</v>
      </c>
      <c r="AL10" s="61">
        <f>tab!J4</f>
        <v>2020</v>
      </c>
      <c r="AM10" s="132"/>
    </row>
    <row r="11" spans="2:39" s="12" customFormat="1" x14ac:dyDescent="0.2">
      <c r="B11" s="131"/>
      <c r="C11" s="54"/>
      <c r="D11" s="53"/>
      <c r="E11" s="61"/>
      <c r="F11" s="156"/>
      <c r="G11" s="45"/>
      <c r="H11" s="45"/>
      <c r="I11" s="45"/>
      <c r="J11" s="45"/>
      <c r="K11" s="45"/>
      <c r="L11" s="45"/>
      <c r="M11" s="61"/>
      <c r="N11" s="45"/>
      <c r="O11" s="45"/>
      <c r="P11" s="45"/>
      <c r="Q11" s="45"/>
      <c r="R11" s="45"/>
      <c r="S11" s="45"/>
      <c r="T11" s="61"/>
      <c r="U11" s="45"/>
      <c r="V11" s="45"/>
      <c r="W11" s="45"/>
      <c r="X11" s="45"/>
      <c r="Y11" s="45"/>
      <c r="Z11" s="45"/>
      <c r="AA11" s="61"/>
      <c r="AB11" s="61"/>
      <c r="AC11" s="61"/>
      <c r="AD11" s="61"/>
      <c r="AE11" s="61"/>
      <c r="AF11" s="61"/>
      <c r="AG11" s="61"/>
      <c r="AH11" s="61"/>
      <c r="AI11" s="61"/>
      <c r="AJ11" s="61"/>
      <c r="AK11" s="61"/>
      <c r="AL11" s="61"/>
      <c r="AM11" s="132"/>
    </row>
    <row r="12" spans="2:39" s="12" customFormat="1" x14ac:dyDescent="0.2">
      <c r="B12" s="131"/>
      <c r="C12" s="647" t="s">
        <v>422</v>
      </c>
      <c r="D12" s="648"/>
      <c r="E12" s="649"/>
      <c r="F12" s="650"/>
      <c r="G12" s="651">
        <f t="shared" ref="G12:L12" si="0">+G141</f>
        <v>0</v>
      </c>
      <c r="H12" s="651">
        <f t="shared" si="0"/>
        <v>0</v>
      </c>
      <c r="I12" s="651">
        <f t="shared" si="0"/>
        <v>0</v>
      </c>
      <c r="J12" s="651">
        <f t="shared" si="0"/>
        <v>0</v>
      </c>
      <c r="K12" s="651">
        <f t="shared" si="0"/>
        <v>0</v>
      </c>
      <c r="L12" s="651">
        <f t="shared" si="0"/>
        <v>0</v>
      </c>
      <c r="M12" s="652"/>
      <c r="N12" s="653">
        <f t="shared" ref="N12:S12" si="1">+N141</f>
        <v>0</v>
      </c>
      <c r="O12" s="653">
        <f t="shared" si="1"/>
        <v>0</v>
      </c>
      <c r="P12" s="653">
        <f t="shared" si="1"/>
        <v>0</v>
      </c>
      <c r="Q12" s="653">
        <f t="shared" si="1"/>
        <v>0</v>
      </c>
      <c r="R12" s="653">
        <f t="shared" si="1"/>
        <v>0</v>
      </c>
      <c r="S12" s="653">
        <f t="shared" si="1"/>
        <v>0</v>
      </c>
      <c r="T12" s="652"/>
      <c r="U12" s="653">
        <f t="shared" ref="U12:Z12" si="2">+U141</f>
        <v>0</v>
      </c>
      <c r="V12" s="653">
        <f t="shared" si="2"/>
        <v>0</v>
      </c>
      <c r="W12" s="653">
        <f t="shared" si="2"/>
        <v>0</v>
      </c>
      <c r="X12" s="653">
        <f t="shared" si="2"/>
        <v>0</v>
      </c>
      <c r="Y12" s="653">
        <f t="shared" si="2"/>
        <v>0</v>
      </c>
      <c r="Z12" s="653">
        <f t="shared" si="2"/>
        <v>0</v>
      </c>
      <c r="AA12" s="652"/>
      <c r="AB12" s="653">
        <f t="shared" ref="AB12:AF12" si="3">+AB141</f>
        <v>0</v>
      </c>
      <c r="AC12" s="653">
        <f t="shared" si="3"/>
        <v>0</v>
      </c>
      <c r="AD12" s="653">
        <f t="shared" si="3"/>
        <v>0</v>
      </c>
      <c r="AE12" s="653">
        <f t="shared" si="3"/>
        <v>0</v>
      </c>
      <c r="AF12" s="653">
        <f t="shared" si="3"/>
        <v>0</v>
      </c>
      <c r="AG12" s="652"/>
      <c r="AH12" s="653">
        <f t="shared" ref="AH12:AL12" si="4">+AH141</f>
        <v>0</v>
      </c>
      <c r="AI12" s="653">
        <f t="shared" si="4"/>
        <v>0</v>
      </c>
      <c r="AJ12" s="653">
        <f t="shared" si="4"/>
        <v>0</v>
      </c>
      <c r="AK12" s="653">
        <f t="shared" si="4"/>
        <v>0</v>
      </c>
      <c r="AL12" s="653">
        <f t="shared" si="4"/>
        <v>0</v>
      </c>
      <c r="AM12" s="132"/>
    </row>
    <row r="13" spans="2:39" s="113" customFormat="1" x14ac:dyDescent="0.2">
      <c r="B13" s="133"/>
      <c r="C13" s="70"/>
      <c r="D13" s="121"/>
      <c r="E13" s="159"/>
      <c r="F13" s="60"/>
      <c r="G13" s="52"/>
      <c r="H13" s="52"/>
      <c r="I13" s="52"/>
      <c r="J13" s="52"/>
      <c r="K13" s="52"/>
      <c r="L13" s="52"/>
      <c r="M13" s="52"/>
      <c r="N13" s="52"/>
      <c r="O13" s="52"/>
      <c r="P13" s="52"/>
      <c r="Q13" s="52"/>
      <c r="R13" s="52"/>
      <c r="S13" s="52"/>
      <c r="T13" s="52"/>
      <c r="U13" s="52"/>
      <c r="V13" s="52"/>
      <c r="W13" s="52"/>
      <c r="X13" s="52"/>
      <c r="Y13" s="52"/>
      <c r="Z13" s="52"/>
      <c r="AA13" s="52"/>
      <c r="AB13" s="160"/>
      <c r="AC13" s="94"/>
      <c r="AD13" s="94"/>
      <c r="AE13" s="94"/>
      <c r="AF13" s="94"/>
      <c r="AG13" s="94"/>
      <c r="AH13" s="160"/>
      <c r="AI13" s="70"/>
      <c r="AJ13" s="70"/>
      <c r="AK13" s="70"/>
      <c r="AL13" s="70"/>
      <c r="AM13" s="134"/>
    </row>
    <row r="14" spans="2:39" s="113" customFormat="1" x14ac:dyDescent="0.2">
      <c r="B14" s="133"/>
      <c r="C14" s="147"/>
      <c r="D14" s="148"/>
      <c r="E14" s="148" t="s">
        <v>423</v>
      </c>
      <c r="F14" s="14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134"/>
    </row>
    <row r="15" spans="2:39" s="113" customFormat="1" x14ac:dyDescent="0.2">
      <c r="B15" s="133"/>
      <c r="C15" s="150"/>
      <c r="D15" s="50">
        <v>1</v>
      </c>
      <c r="E15" s="1100" t="str">
        <f>+'Li O school'!E15</f>
        <v>school 1</v>
      </c>
      <c r="F15" s="1100" t="str">
        <f>+'Li O school'!F15</f>
        <v>11AA</v>
      </c>
      <c r="G15" s="925">
        <v>0</v>
      </c>
      <c r="H15" s="925">
        <v>0</v>
      </c>
      <c r="I15" s="925">
        <f t="shared" ref="I15:L30" si="5">+H15</f>
        <v>0</v>
      </c>
      <c r="J15" s="925">
        <f t="shared" si="5"/>
        <v>0</v>
      </c>
      <c r="K15" s="925">
        <f t="shared" si="5"/>
        <v>0</v>
      </c>
      <c r="L15" s="925">
        <f t="shared" si="5"/>
        <v>0</v>
      </c>
      <c r="M15" s="71"/>
      <c r="N15" s="68">
        <f>ROUND(G15*tab!E$39,2)</f>
        <v>0</v>
      </c>
      <c r="O15" s="68">
        <f>ROUND(H15*tab!F$39,2)</f>
        <v>0</v>
      </c>
      <c r="P15" s="68">
        <f>ROUND(I15*tab!G$39,2)</f>
        <v>0</v>
      </c>
      <c r="Q15" s="68">
        <f>ROUND(J15*tab!H$39,2)</f>
        <v>0</v>
      </c>
      <c r="R15" s="68">
        <f>ROUND(K15*tab!I$39,2)</f>
        <v>0</v>
      </c>
      <c r="S15" s="68">
        <f>ROUND(L15*tab!J$39,2)</f>
        <v>0</v>
      </c>
      <c r="T15" s="71"/>
      <c r="U15" s="153">
        <v>0</v>
      </c>
      <c r="V15" s="120">
        <f t="shared" ref="V15:X34" si="6">U15</f>
        <v>0</v>
      </c>
      <c r="W15" s="120">
        <f t="shared" si="6"/>
        <v>0</v>
      </c>
      <c r="X15" s="120">
        <f t="shared" si="6"/>
        <v>0</v>
      </c>
      <c r="Y15" s="120">
        <f t="shared" ref="Y15:Y78" si="7">X15</f>
        <v>0</v>
      </c>
      <c r="Z15" s="120">
        <f t="shared" ref="Z15:Z78" si="8">Y15</f>
        <v>0</v>
      </c>
      <c r="AA15" s="71"/>
      <c r="AB15" s="68">
        <f>+H15*tab!F$42</f>
        <v>0</v>
      </c>
      <c r="AC15" s="68">
        <f>+I15*tab!G$42</f>
        <v>0</v>
      </c>
      <c r="AD15" s="68">
        <f>+J15*tab!H$42</f>
        <v>0</v>
      </c>
      <c r="AE15" s="68">
        <f>+K15*tab!I$42</f>
        <v>0</v>
      </c>
      <c r="AF15" s="68">
        <f>+L15*tab!J$42</f>
        <v>0</v>
      </c>
      <c r="AG15" s="71"/>
      <c r="AH15" s="599">
        <v>0</v>
      </c>
      <c r="AI15" s="120">
        <f t="shared" ref="AI15" si="9">AH15</f>
        <v>0</v>
      </c>
      <c r="AJ15" s="120">
        <f t="shared" ref="AJ15" si="10">AI15</f>
        <v>0</v>
      </c>
      <c r="AK15" s="120">
        <f t="shared" ref="AK15" si="11">AJ15</f>
        <v>0</v>
      </c>
      <c r="AL15" s="120">
        <f t="shared" ref="AL15" si="12">AK15</f>
        <v>0</v>
      </c>
      <c r="AM15" s="134"/>
    </row>
    <row r="16" spans="2:39" s="113" customFormat="1" x14ac:dyDescent="0.2">
      <c r="B16" s="133"/>
      <c r="C16" s="150"/>
      <c r="D16" s="50">
        <v>2</v>
      </c>
      <c r="E16" s="1100" t="str">
        <f>+'Li O school'!E16</f>
        <v>school 2</v>
      </c>
      <c r="F16" s="1100" t="str">
        <f>+'Li O school'!F16</f>
        <v>11AA</v>
      </c>
      <c r="G16" s="925">
        <v>0</v>
      </c>
      <c r="H16" s="925">
        <v>0</v>
      </c>
      <c r="I16" s="925">
        <f t="shared" si="5"/>
        <v>0</v>
      </c>
      <c r="J16" s="925">
        <f t="shared" si="5"/>
        <v>0</v>
      </c>
      <c r="K16" s="925">
        <f t="shared" si="5"/>
        <v>0</v>
      </c>
      <c r="L16" s="925">
        <f t="shared" si="5"/>
        <v>0</v>
      </c>
      <c r="M16" s="71"/>
      <c r="N16" s="68">
        <f>ROUND(G16*tab!E$39,2)</f>
        <v>0</v>
      </c>
      <c r="O16" s="68">
        <f>ROUND(H16*tab!F$39,2)</f>
        <v>0</v>
      </c>
      <c r="P16" s="68">
        <f>ROUND(I16*tab!G$39,2)</f>
        <v>0</v>
      </c>
      <c r="Q16" s="68">
        <f>ROUND(J16*tab!H$39,2)</f>
        <v>0</v>
      </c>
      <c r="R16" s="68">
        <f>ROUND(K16*tab!I$39,2)</f>
        <v>0</v>
      </c>
      <c r="S16" s="68">
        <f>ROUND(L16*tab!J$39,2)</f>
        <v>0</v>
      </c>
      <c r="T16" s="71"/>
      <c r="U16" s="153">
        <v>0</v>
      </c>
      <c r="V16" s="120">
        <f t="shared" si="6"/>
        <v>0</v>
      </c>
      <c r="W16" s="120">
        <f t="shared" si="6"/>
        <v>0</v>
      </c>
      <c r="X16" s="120">
        <f t="shared" si="6"/>
        <v>0</v>
      </c>
      <c r="Y16" s="120">
        <f t="shared" si="7"/>
        <v>0</v>
      </c>
      <c r="Z16" s="120">
        <f t="shared" si="8"/>
        <v>0</v>
      </c>
      <c r="AA16" s="71"/>
      <c r="AB16" s="68">
        <f>+H16*tab!F$42</f>
        <v>0</v>
      </c>
      <c r="AC16" s="68">
        <f>+I16*tab!G$42</f>
        <v>0</v>
      </c>
      <c r="AD16" s="68">
        <f>+J16*tab!H$42</f>
        <v>0</v>
      </c>
      <c r="AE16" s="68">
        <f>+K16*tab!I$42</f>
        <v>0</v>
      </c>
      <c r="AF16" s="68">
        <f>+L16*tab!J$42</f>
        <v>0</v>
      </c>
      <c r="AG16" s="71"/>
      <c r="AH16" s="599">
        <v>0</v>
      </c>
      <c r="AI16" s="120">
        <f t="shared" ref="AI16:AI18" si="13">AH16</f>
        <v>0</v>
      </c>
      <c r="AJ16" s="120">
        <f t="shared" ref="AJ16:AJ18" si="14">AI16</f>
        <v>0</v>
      </c>
      <c r="AK16" s="120">
        <f t="shared" ref="AK16:AK18" si="15">AJ16</f>
        <v>0</v>
      </c>
      <c r="AL16" s="120">
        <f t="shared" ref="AL16:AL18" si="16">AK16</f>
        <v>0</v>
      </c>
      <c r="AM16" s="134"/>
    </row>
    <row r="17" spans="2:39" s="113" customFormat="1" x14ac:dyDescent="0.2">
      <c r="B17" s="133"/>
      <c r="C17" s="150"/>
      <c r="D17" s="50">
        <v>3</v>
      </c>
      <c r="E17" s="1100" t="str">
        <f>+'Li O school'!E17</f>
        <v>school 3</v>
      </c>
      <c r="F17" s="1100" t="str">
        <f>+'Li O school'!F17</f>
        <v>11AA</v>
      </c>
      <c r="G17" s="925">
        <v>0</v>
      </c>
      <c r="H17" s="925">
        <v>0</v>
      </c>
      <c r="I17" s="925">
        <f t="shared" si="5"/>
        <v>0</v>
      </c>
      <c r="J17" s="925">
        <f t="shared" si="5"/>
        <v>0</v>
      </c>
      <c r="K17" s="925">
        <f t="shared" si="5"/>
        <v>0</v>
      </c>
      <c r="L17" s="925">
        <f t="shared" si="5"/>
        <v>0</v>
      </c>
      <c r="M17" s="71"/>
      <c r="N17" s="68">
        <f>ROUND(G17*tab!E$39,2)</f>
        <v>0</v>
      </c>
      <c r="O17" s="68">
        <f>ROUND(H17*tab!F$39,2)</f>
        <v>0</v>
      </c>
      <c r="P17" s="68">
        <f>ROUND(I17*tab!G$39,2)</f>
        <v>0</v>
      </c>
      <c r="Q17" s="68">
        <f>ROUND(J17*tab!H$39,2)</f>
        <v>0</v>
      </c>
      <c r="R17" s="68">
        <f>ROUND(K17*tab!I$39,2)</f>
        <v>0</v>
      </c>
      <c r="S17" s="68">
        <f>ROUND(L17*tab!J$39,2)</f>
        <v>0</v>
      </c>
      <c r="T17" s="71"/>
      <c r="U17" s="153">
        <v>0</v>
      </c>
      <c r="V17" s="120">
        <f t="shared" si="6"/>
        <v>0</v>
      </c>
      <c r="W17" s="120">
        <f t="shared" si="6"/>
        <v>0</v>
      </c>
      <c r="X17" s="120">
        <f t="shared" si="6"/>
        <v>0</v>
      </c>
      <c r="Y17" s="120">
        <f t="shared" si="7"/>
        <v>0</v>
      </c>
      <c r="Z17" s="120">
        <f t="shared" si="8"/>
        <v>0</v>
      </c>
      <c r="AA17" s="71"/>
      <c r="AB17" s="68">
        <f>+H17*tab!F$42</f>
        <v>0</v>
      </c>
      <c r="AC17" s="68">
        <f>+I17*tab!G$42</f>
        <v>0</v>
      </c>
      <c r="AD17" s="68">
        <f>+J17*tab!H$42</f>
        <v>0</v>
      </c>
      <c r="AE17" s="68">
        <f>+K17*tab!I$42</f>
        <v>0</v>
      </c>
      <c r="AF17" s="68">
        <f>+L17*tab!J$42</f>
        <v>0</v>
      </c>
      <c r="AG17" s="71"/>
      <c r="AH17" s="599">
        <v>0</v>
      </c>
      <c r="AI17" s="120">
        <f t="shared" si="13"/>
        <v>0</v>
      </c>
      <c r="AJ17" s="120">
        <f t="shared" si="14"/>
        <v>0</v>
      </c>
      <c r="AK17" s="120">
        <f t="shared" si="15"/>
        <v>0</v>
      </c>
      <c r="AL17" s="120">
        <f t="shared" si="16"/>
        <v>0</v>
      </c>
      <c r="AM17" s="134"/>
    </row>
    <row r="18" spans="2:39" s="113" customFormat="1" x14ac:dyDescent="0.2">
      <c r="B18" s="133"/>
      <c r="C18" s="150"/>
      <c r="D18" s="50">
        <v>4</v>
      </c>
      <c r="E18" s="1100" t="str">
        <f>+'Li O school'!E18</f>
        <v>school 4</v>
      </c>
      <c r="F18" s="1100" t="str">
        <f>+'Li O school'!F18</f>
        <v>11AA</v>
      </c>
      <c r="G18" s="925">
        <v>0</v>
      </c>
      <c r="H18" s="925">
        <v>0</v>
      </c>
      <c r="I18" s="925">
        <f t="shared" si="5"/>
        <v>0</v>
      </c>
      <c r="J18" s="925">
        <f t="shared" si="5"/>
        <v>0</v>
      </c>
      <c r="K18" s="925">
        <f t="shared" si="5"/>
        <v>0</v>
      </c>
      <c r="L18" s="925">
        <f t="shared" si="5"/>
        <v>0</v>
      </c>
      <c r="M18" s="71"/>
      <c r="N18" s="68">
        <f>ROUND(G18*tab!E$39,2)</f>
        <v>0</v>
      </c>
      <c r="O18" s="68">
        <f>ROUND(H18*tab!F$39,2)</f>
        <v>0</v>
      </c>
      <c r="P18" s="68">
        <f>ROUND(I18*tab!G$39,2)</f>
        <v>0</v>
      </c>
      <c r="Q18" s="68">
        <f>ROUND(J18*tab!H$39,2)</f>
        <v>0</v>
      </c>
      <c r="R18" s="68">
        <f>ROUND(K18*tab!I$39,2)</f>
        <v>0</v>
      </c>
      <c r="S18" s="68">
        <f>ROUND(L18*tab!J$39,2)</f>
        <v>0</v>
      </c>
      <c r="T18" s="71"/>
      <c r="U18" s="153">
        <v>0</v>
      </c>
      <c r="V18" s="120">
        <f t="shared" si="6"/>
        <v>0</v>
      </c>
      <c r="W18" s="120">
        <f t="shared" si="6"/>
        <v>0</v>
      </c>
      <c r="X18" s="120">
        <f t="shared" si="6"/>
        <v>0</v>
      </c>
      <c r="Y18" s="120">
        <f t="shared" si="7"/>
        <v>0</v>
      </c>
      <c r="Z18" s="120">
        <f t="shared" si="8"/>
        <v>0</v>
      </c>
      <c r="AA18" s="71"/>
      <c r="AB18" s="68">
        <f>+H18*tab!F$42</f>
        <v>0</v>
      </c>
      <c r="AC18" s="68">
        <f>+I18*tab!G$42</f>
        <v>0</v>
      </c>
      <c r="AD18" s="68">
        <f>+J18*tab!H$42</f>
        <v>0</v>
      </c>
      <c r="AE18" s="68">
        <f>+K18*tab!I$42</f>
        <v>0</v>
      </c>
      <c r="AF18" s="68">
        <f>+L18*tab!J$42</f>
        <v>0</v>
      </c>
      <c r="AG18" s="71"/>
      <c r="AH18" s="599">
        <v>0</v>
      </c>
      <c r="AI18" s="120">
        <f t="shared" si="13"/>
        <v>0</v>
      </c>
      <c r="AJ18" s="120">
        <f t="shared" si="14"/>
        <v>0</v>
      </c>
      <c r="AK18" s="120">
        <f t="shared" si="15"/>
        <v>0</v>
      </c>
      <c r="AL18" s="120">
        <f t="shared" si="16"/>
        <v>0</v>
      </c>
      <c r="AM18" s="134"/>
    </row>
    <row r="19" spans="2:39" s="113" customFormat="1" x14ac:dyDescent="0.2">
      <c r="B19" s="133"/>
      <c r="C19" s="150"/>
      <c r="D19" s="50">
        <v>5</v>
      </c>
      <c r="E19" s="1100" t="str">
        <f>+'Li O school'!E19</f>
        <v>school 5</v>
      </c>
      <c r="F19" s="1100" t="str">
        <f>+'Li O school'!F19</f>
        <v>11AA</v>
      </c>
      <c r="G19" s="925">
        <v>0</v>
      </c>
      <c r="H19" s="925">
        <v>0</v>
      </c>
      <c r="I19" s="925">
        <f t="shared" si="5"/>
        <v>0</v>
      </c>
      <c r="J19" s="925">
        <f t="shared" si="5"/>
        <v>0</v>
      </c>
      <c r="K19" s="925">
        <f t="shared" si="5"/>
        <v>0</v>
      </c>
      <c r="L19" s="925">
        <f t="shared" si="5"/>
        <v>0</v>
      </c>
      <c r="M19" s="71"/>
      <c r="N19" s="68">
        <f>ROUND(G19*tab!E$39,2)</f>
        <v>0</v>
      </c>
      <c r="O19" s="68">
        <f>ROUND(H19*tab!F$39,2)</f>
        <v>0</v>
      </c>
      <c r="P19" s="68">
        <f>ROUND(I19*tab!G$39,2)</f>
        <v>0</v>
      </c>
      <c r="Q19" s="68">
        <f>ROUND(J19*tab!H$39,2)</f>
        <v>0</v>
      </c>
      <c r="R19" s="68">
        <f>ROUND(K19*tab!I$39,2)</f>
        <v>0</v>
      </c>
      <c r="S19" s="68">
        <f>ROUND(L19*tab!J$39,2)</f>
        <v>0</v>
      </c>
      <c r="T19" s="71"/>
      <c r="U19" s="153">
        <v>0</v>
      </c>
      <c r="V19" s="120">
        <f t="shared" si="6"/>
        <v>0</v>
      </c>
      <c r="W19" s="120">
        <f t="shared" si="6"/>
        <v>0</v>
      </c>
      <c r="X19" s="120">
        <f t="shared" si="6"/>
        <v>0</v>
      </c>
      <c r="Y19" s="120">
        <f t="shared" si="7"/>
        <v>0</v>
      </c>
      <c r="Z19" s="120">
        <f t="shared" si="8"/>
        <v>0</v>
      </c>
      <c r="AA19" s="71"/>
      <c r="AB19" s="68">
        <f>+H19*tab!F$42</f>
        <v>0</v>
      </c>
      <c r="AC19" s="68">
        <f>+I19*tab!G$42</f>
        <v>0</v>
      </c>
      <c r="AD19" s="68">
        <f>+J19*tab!H$42</f>
        <v>0</v>
      </c>
      <c r="AE19" s="68">
        <f>+K19*tab!I$42</f>
        <v>0</v>
      </c>
      <c r="AF19" s="68">
        <f>+L19*tab!J$42</f>
        <v>0</v>
      </c>
      <c r="AG19" s="71"/>
      <c r="AH19" s="599">
        <v>0</v>
      </c>
      <c r="AI19" s="120">
        <f t="shared" ref="AI19:AI82" si="17">AH19</f>
        <v>0</v>
      </c>
      <c r="AJ19" s="120">
        <f t="shared" ref="AJ19:AJ82" si="18">AI19</f>
        <v>0</v>
      </c>
      <c r="AK19" s="120">
        <f t="shared" ref="AK19:AK82" si="19">AJ19</f>
        <v>0</v>
      </c>
      <c r="AL19" s="120">
        <f t="shared" ref="AL19:AL82" si="20">AK19</f>
        <v>0</v>
      </c>
      <c r="AM19" s="134"/>
    </row>
    <row r="20" spans="2:39" s="113" customFormat="1" x14ac:dyDescent="0.2">
      <c r="B20" s="133"/>
      <c r="C20" s="150"/>
      <c r="D20" s="50">
        <v>6</v>
      </c>
      <c r="E20" s="1100" t="str">
        <f>+'Li O school'!E20</f>
        <v>school 6</v>
      </c>
      <c r="F20" s="1100" t="str">
        <f>+'Li O school'!F20</f>
        <v>11AA</v>
      </c>
      <c r="G20" s="925">
        <v>0</v>
      </c>
      <c r="H20" s="925">
        <v>0</v>
      </c>
      <c r="I20" s="925">
        <f t="shared" si="5"/>
        <v>0</v>
      </c>
      <c r="J20" s="925">
        <f t="shared" si="5"/>
        <v>0</v>
      </c>
      <c r="K20" s="925">
        <f t="shared" si="5"/>
        <v>0</v>
      </c>
      <c r="L20" s="925">
        <f t="shared" si="5"/>
        <v>0</v>
      </c>
      <c r="M20" s="71"/>
      <c r="N20" s="68">
        <f>ROUND(G20*tab!E$39,2)</f>
        <v>0</v>
      </c>
      <c r="O20" s="68">
        <f>ROUND(H20*tab!F$39,2)</f>
        <v>0</v>
      </c>
      <c r="P20" s="68">
        <f>ROUND(I20*tab!G$39,2)</f>
        <v>0</v>
      </c>
      <c r="Q20" s="68">
        <f>ROUND(J20*tab!H$39,2)</f>
        <v>0</v>
      </c>
      <c r="R20" s="68">
        <f>ROUND(K20*tab!I$39,2)</f>
        <v>0</v>
      </c>
      <c r="S20" s="68">
        <f>ROUND(L20*tab!J$39,2)</f>
        <v>0</v>
      </c>
      <c r="T20" s="71"/>
      <c r="U20" s="153">
        <v>0</v>
      </c>
      <c r="V20" s="120">
        <f t="shared" si="6"/>
        <v>0</v>
      </c>
      <c r="W20" s="120">
        <f t="shared" si="6"/>
        <v>0</v>
      </c>
      <c r="X20" s="120">
        <f t="shared" si="6"/>
        <v>0</v>
      </c>
      <c r="Y20" s="120">
        <f t="shared" si="7"/>
        <v>0</v>
      </c>
      <c r="Z20" s="120">
        <f t="shared" si="8"/>
        <v>0</v>
      </c>
      <c r="AA20" s="71"/>
      <c r="AB20" s="68">
        <f>+H20*tab!F$42</f>
        <v>0</v>
      </c>
      <c r="AC20" s="68">
        <f>+I20*tab!G$42</f>
        <v>0</v>
      </c>
      <c r="AD20" s="68">
        <f>+J20*tab!H$42</f>
        <v>0</v>
      </c>
      <c r="AE20" s="68">
        <f>+K20*tab!I$42</f>
        <v>0</v>
      </c>
      <c r="AF20" s="68">
        <f>+L20*tab!J$42</f>
        <v>0</v>
      </c>
      <c r="AG20" s="71"/>
      <c r="AH20" s="599">
        <v>0</v>
      </c>
      <c r="AI20" s="120">
        <f t="shared" si="17"/>
        <v>0</v>
      </c>
      <c r="AJ20" s="120">
        <f t="shared" si="18"/>
        <v>0</v>
      </c>
      <c r="AK20" s="120">
        <f t="shared" si="19"/>
        <v>0</v>
      </c>
      <c r="AL20" s="120">
        <f t="shared" si="20"/>
        <v>0</v>
      </c>
      <c r="AM20" s="134"/>
    </row>
    <row r="21" spans="2:39" s="113" customFormat="1" x14ac:dyDescent="0.2">
      <c r="B21" s="133"/>
      <c r="C21" s="150"/>
      <c r="D21" s="50">
        <v>7</v>
      </c>
      <c r="E21" s="1100" t="str">
        <f>+'Li O school'!E21</f>
        <v>school 7</v>
      </c>
      <c r="F21" s="1100" t="str">
        <f>+'Li O school'!F21</f>
        <v>11AA</v>
      </c>
      <c r="G21" s="925">
        <v>0</v>
      </c>
      <c r="H21" s="925">
        <v>0</v>
      </c>
      <c r="I21" s="925">
        <f t="shared" si="5"/>
        <v>0</v>
      </c>
      <c r="J21" s="925">
        <f t="shared" si="5"/>
        <v>0</v>
      </c>
      <c r="K21" s="925">
        <f t="shared" si="5"/>
        <v>0</v>
      </c>
      <c r="L21" s="925">
        <f t="shared" si="5"/>
        <v>0</v>
      </c>
      <c r="M21" s="71"/>
      <c r="N21" s="68">
        <f>ROUND(G21*tab!E$39,2)</f>
        <v>0</v>
      </c>
      <c r="O21" s="68">
        <f>ROUND(H21*tab!F$39,2)</f>
        <v>0</v>
      </c>
      <c r="P21" s="68">
        <f>ROUND(I21*tab!G$39,2)</f>
        <v>0</v>
      </c>
      <c r="Q21" s="68">
        <f>ROUND(J21*tab!H$39,2)</f>
        <v>0</v>
      </c>
      <c r="R21" s="68">
        <f>ROUND(K21*tab!I$39,2)</f>
        <v>0</v>
      </c>
      <c r="S21" s="68">
        <f>ROUND(L21*tab!J$39,2)</f>
        <v>0</v>
      </c>
      <c r="T21" s="71"/>
      <c r="U21" s="153">
        <v>0</v>
      </c>
      <c r="V21" s="120">
        <f t="shared" si="6"/>
        <v>0</v>
      </c>
      <c r="W21" s="120">
        <f t="shared" si="6"/>
        <v>0</v>
      </c>
      <c r="X21" s="120">
        <f t="shared" si="6"/>
        <v>0</v>
      </c>
      <c r="Y21" s="120">
        <f t="shared" si="7"/>
        <v>0</v>
      </c>
      <c r="Z21" s="120">
        <f t="shared" si="8"/>
        <v>0</v>
      </c>
      <c r="AA21" s="71"/>
      <c r="AB21" s="68">
        <f>+H21*tab!F$42</f>
        <v>0</v>
      </c>
      <c r="AC21" s="68">
        <f>+I21*tab!G$42</f>
        <v>0</v>
      </c>
      <c r="AD21" s="68">
        <f>+J21*tab!H$42</f>
        <v>0</v>
      </c>
      <c r="AE21" s="68">
        <f>+K21*tab!I$42</f>
        <v>0</v>
      </c>
      <c r="AF21" s="68">
        <f>+L21*tab!J$42</f>
        <v>0</v>
      </c>
      <c r="AG21" s="71"/>
      <c r="AH21" s="599">
        <v>0</v>
      </c>
      <c r="AI21" s="120">
        <f t="shared" si="17"/>
        <v>0</v>
      </c>
      <c r="AJ21" s="120">
        <f t="shared" si="18"/>
        <v>0</v>
      </c>
      <c r="AK21" s="120">
        <f t="shared" si="19"/>
        <v>0</v>
      </c>
      <c r="AL21" s="120">
        <f t="shared" si="20"/>
        <v>0</v>
      </c>
      <c r="AM21" s="134"/>
    </row>
    <row r="22" spans="2:39" s="113" customFormat="1" x14ac:dyDescent="0.2">
      <c r="B22" s="133"/>
      <c r="C22" s="150"/>
      <c r="D22" s="50">
        <v>8</v>
      </c>
      <c r="E22" s="1100" t="str">
        <f>+'Li O school'!E22</f>
        <v>school 8</v>
      </c>
      <c r="F22" s="1100" t="str">
        <f>+'Li O school'!F22</f>
        <v>11AA</v>
      </c>
      <c r="G22" s="925">
        <v>0</v>
      </c>
      <c r="H22" s="925">
        <v>0</v>
      </c>
      <c r="I22" s="925">
        <f t="shared" si="5"/>
        <v>0</v>
      </c>
      <c r="J22" s="925">
        <f t="shared" si="5"/>
        <v>0</v>
      </c>
      <c r="K22" s="925">
        <f t="shared" si="5"/>
        <v>0</v>
      </c>
      <c r="L22" s="925">
        <f t="shared" si="5"/>
        <v>0</v>
      </c>
      <c r="M22" s="71"/>
      <c r="N22" s="68">
        <f>ROUND(G22*tab!E$39,2)</f>
        <v>0</v>
      </c>
      <c r="O22" s="68">
        <f>ROUND(H22*tab!F$39,2)</f>
        <v>0</v>
      </c>
      <c r="P22" s="68">
        <f>ROUND(I22*tab!G$39,2)</f>
        <v>0</v>
      </c>
      <c r="Q22" s="68">
        <f>ROUND(J22*tab!H$39,2)</f>
        <v>0</v>
      </c>
      <c r="R22" s="68">
        <f>ROUND(K22*tab!I$39,2)</f>
        <v>0</v>
      </c>
      <c r="S22" s="68">
        <f>ROUND(L22*tab!J$39,2)</f>
        <v>0</v>
      </c>
      <c r="T22" s="71"/>
      <c r="U22" s="153">
        <v>0</v>
      </c>
      <c r="V22" s="120">
        <f t="shared" si="6"/>
        <v>0</v>
      </c>
      <c r="W22" s="120">
        <f t="shared" si="6"/>
        <v>0</v>
      </c>
      <c r="X22" s="120">
        <f t="shared" si="6"/>
        <v>0</v>
      </c>
      <c r="Y22" s="120">
        <f t="shared" si="7"/>
        <v>0</v>
      </c>
      <c r="Z22" s="120">
        <f t="shared" si="8"/>
        <v>0</v>
      </c>
      <c r="AA22" s="71"/>
      <c r="AB22" s="68">
        <f>+H22*tab!F$42</f>
        <v>0</v>
      </c>
      <c r="AC22" s="68">
        <f>+I22*tab!G$42</f>
        <v>0</v>
      </c>
      <c r="AD22" s="68">
        <f>+J22*tab!H$42</f>
        <v>0</v>
      </c>
      <c r="AE22" s="68">
        <f>+K22*tab!I$42</f>
        <v>0</v>
      </c>
      <c r="AF22" s="68">
        <f>+L22*tab!J$42</f>
        <v>0</v>
      </c>
      <c r="AG22" s="71"/>
      <c r="AH22" s="599">
        <v>0</v>
      </c>
      <c r="AI22" s="120">
        <f t="shared" si="17"/>
        <v>0</v>
      </c>
      <c r="AJ22" s="120">
        <f t="shared" si="18"/>
        <v>0</v>
      </c>
      <c r="AK22" s="120">
        <f t="shared" si="19"/>
        <v>0</v>
      </c>
      <c r="AL22" s="120">
        <f t="shared" si="20"/>
        <v>0</v>
      </c>
      <c r="AM22" s="134"/>
    </row>
    <row r="23" spans="2:39" s="113" customFormat="1" x14ac:dyDescent="0.2">
      <c r="B23" s="133"/>
      <c r="C23" s="150"/>
      <c r="D23" s="50">
        <v>9</v>
      </c>
      <c r="E23" s="1100" t="str">
        <f>+'Li O school'!E23</f>
        <v>school 9</v>
      </c>
      <c r="F23" s="1100" t="str">
        <f>+'Li O school'!F23</f>
        <v>11AA</v>
      </c>
      <c r="G23" s="925">
        <v>0</v>
      </c>
      <c r="H23" s="925">
        <v>0</v>
      </c>
      <c r="I23" s="925">
        <f t="shared" si="5"/>
        <v>0</v>
      </c>
      <c r="J23" s="925">
        <f t="shared" si="5"/>
        <v>0</v>
      </c>
      <c r="K23" s="925">
        <f t="shared" si="5"/>
        <v>0</v>
      </c>
      <c r="L23" s="925">
        <f t="shared" si="5"/>
        <v>0</v>
      </c>
      <c r="M23" s="71"/>
      <c r="N23" s="68">
        <f>ROUND(G23*tab!E$39,2)</f>
        <v>0</v>
      </c>
      <c r="O23" s="68">
        <f>ROUND(H23*tab!F$39,2)</f>
        <v>0</v>
      </c>
      <c r="P23" s="68">
        <f>ROUND(I23*tab!G$39,2)</f>
        <v>0</v>
      </c>
      <c r="Q23" s="68">
        <f>ROUND(J23*tab!H$39,2)</f>
        <v>0</v>
      </c>
      <c r="R23" s="68">
        <f>ROUND(K23*tab!I$39,2)</f>
        <v>0</v>
      </c>
      <c r="S23" s="68">
        <f>ROUND(L23*tab!J$39,2)</f>
        <v>0</v>
      </c>
      <c r="T23" s="71"/>
      <c r="U23" s="153">
        <v>0</v>
      </c>
      <c r="V23" s="120">
        <f t="shared" si="6"/>
        <v>0</v>
      </c>
      <c r="W23" s="120">
        <f t="shared" si="6"/>
        <v>0</v>
      </c>
      <c r="X23" s="120">
        <f t="shared" si="6"/>
        <v>0</v>
      </c>
      <c r="Y23" s="120">
        <f t="shared" si="7"/>
        <v>0</v>
      </c>
      <c r="Z23" s="120">
        <f t="shared" si="8"/>
        <v>0</v>
      </c>
      <c r="AA23" s="71"/>
      <c r="AB23" s="68">
        <f>+H23*tab!F$42</f>
        <v>0</v>
      </c>
      <c r="AC23" s="68">
        <f>+I23*tab!G$42</f>
        <v>0</v>
      </c>
      <c r="AD23" s="68">
        <f>+J23*tab!H$42</f>
        <v>0</v>
      </c>
      <c r="AE23" s="68">
        <f>+K23*tab!I$42</f>
        <v>0</v>
      </c>
      <c r="AF23" s="68">
        <f>+L23*tab!J$42</f>
        <v>0</v>
      </c>
      <c r="AG23" s="71"/>
      <c r="AH23" s="599">
        <v>0</v>
      </c>
      <c r="AI23" s="120">
        <f t="shared" si="17"/>
        <v>0</v>
      </c>
      <c r="AJ23" s="120">
        <f t="shared" si="18"/>
        <v>0</v>
      </c>
      <c r="AK23" s="120">
        <f t="shared" si="19"/>
        <v>0</v>
      </c>
      <c r="AL23" s="120">
        <f t="shared" si="20"/>
        <v>0</v>
      </c>
      <c r="AM23" s="134"/>
    </row>
    <row r="24" spans="2:39" s="113" customFormat="1" x14ac:dyDescent="0.2">
      <c r="B24" s="133"/>
      <c r="C24" s="150"/>
      <c r="D24" s="50">
        <v>10</v>
      </c>
      <c r="E24" s="1100" t="str">
        <f>+'Li O school'!E24</f>
        <v>school 10</v>
      </c>
      <c r="F24" s="1100" t="str">
        <f>+'Li O school'!F24</f>
        <v>11AA</v>
      </c>
      <c r="G24" s="925">
        <v>0</v>
      </c>
      <c r="H24" s="925">
        <v>0</v>
      </c>
      <c r="I24" s="925">
        <f t="shared" si="5"/>
        <v>0</v>
      </c>
      <c r="J24" s="925">
        <f t="shared" si="5"/>
        <v>0</v>
      </c>
      <c r="K24" s="925">
        <f t="shared" si="5"/>
        <v>0</v>
      </c>
      <c r="L24" s="925">
        <f t="shared" si="5"/>
        <v>0</v>
      </c>
      <c r="M24" s="71"/>
      <c r="N24" s="68">
        <f>ROUND(G24*tab!E$39,2)</f>
        <v>0</v>
      </c>
      <c r="O24" s="68">
        <f>ROUND(H24*tab!F$39,2)</f>
        <v>0</v>
      </c>
      <c r="P24" s="68">
        <f>ROUND(I24*tab!G$39,2)</f>
        <v>0</v>
      </c>
      <c r="Q24" s="68">
        <f>ROUND(J24*tab!H$39,2)</f>
        <v>0</v>
      </c>
      <c r="R24" s="68">
        <f>ROUND(K24*tab!I$39,2)</f>
        <v>0</v>
      </c>
      <c r="S24" s="68">
        <f>ROUND(L24*tab!J$39,2)</f>
        <v>0</v>
      </c>
      <c r="T24" s="71"/>
      <c r="U24" s="153">
        <v>0</v>
      </c>
      <c r="V24" s="120">
        <f t="shared" si="6"/>
        <v>0</v>
      </c>
      <c r="W24" s="120">
        <f t="shared" si="6"/>
        <v>0</v>
      </c>
      <c r="X24" s="120">
        <f t="shared" si="6"/>
        <v>0</v>
      </c>
      <c r="Y24" s="120">
        <f t="shared" si="7"/>
        <v>0</v>
      </c>
      <c r="Z24" s="120">
        <f t="shared" si="8"/>
        <v>0</v>
      </c>
      <c r="AA24" s="71"/>
      <c r="AB24" s="68">
        <f>+H24*tab!F$42</f>
        <v>0</v>
      </c>
      <c r="AC24" s="68">
        <f>+I24*tab!G$42</f>
        <v>0</v>
      </c>
      <c r="AD24" s="68">
        <f>+J24*tab!H$42</f>
        <v>0</v>
      </c>
      <c r="AE24" s="68">
        <f>+K24*tab!I$42</f>
        <v>0</v>
      </c>
      <c r="AF24" s="68">
        <f>+L24*tab!J$42</f>
        <v>0</v>
      </c>
      <c r="AG24" s="71"/>
      <c r="AH24" s="599">
        <v>0</v>
      </c>
      <c r="AI24" s="120">
        <f t="shared" si="17"/>
        <v>0</v>
      </c>
      <c r="AJ24" s="120">
        <f t="shared" si="18"/>
        <v>0</v>
      </c>
      <c r="AK24" s="120">
        <f t="shared" si="19"/>
        <v>0</v>
      </c>
      <c r="AL24" s="120">
        <f t="shared" si="20"/>
        <v>0</v>
      </c>
      <c r="AM24" s="134"/>
    </row>
    <row r="25" spans="2:39" s="113" customFormat="1" x14ac:dyDescent="0.2">
      <c r="B25" s="133"/>
      <c r="C25" s="150"/>
      <c r="D25" s="50">
        <v>11</v>
      </c>
      <c r="E25" s="1100" t="str">
        <f>+'Li O school'!E25</f>
        <v>school 11</v>
      </c>
      <c r="F25" s="1100" t="str">
        <f>+'Li O school'!F25</f>
        <v>11AA</v>
      </c>
      <c r="G25" s="925">
        <v>0</v>
      </c>
      <c r="H25" s="925">
        <v>0</v>
      </c>
      <c r="I25" s="925">
        <f t="shared" si="5"/>
        <v>0</v>
      </c>
      <c r="J25" s="925">
        <f t="shared" si="5"/>
        <v>0</v>
      </c>
      <c r="K25" s="925">
        <f t="shared" si="5"/>
        <v>0</v>
      </c>
      <c r="L25" s="925">
        <f t="shared" si="5"/>
        <v>0</v>
      </c>
      <c r="M25" s="71"/>
      <c r="N25" s="68">
        <f>ROUND(G25*tab!E$39,2)</f>
        <v>0</v>
      </c>
      <c r="O25" s="68">
        <f>ROUND(H25*tab!F$39,2)</f>
        <v>0</v>
      </c>
      <c r="P25" s="68">
        <f>ROUND(I25*tab!G$39,2)</f>
        <v>0</v>
      </c>
      <c r="Q25" s="68">
        <f>ROUND(J25*tab!H$39,2)</f>
        <v>0</v>
      </c>
      <c r="R25" s="68">
        <f>ROUND(K25*tab!I$39,2)</f>
        <v>0</v>
      </c>
      <c r="S25" s="68">
        <f>ROUND(L25*tab!J$39,2)</f>
        <v>0</v>
      </c>
      <c r="T25" s="71"/>
      <c r="U25" s="153">
        <v>0</v>
      </c>
      <c r="V25" s="120">
        <f t="shared" si="6"/>
        <v>0</v>
      </c>
      <c r="W25" s="120">
        <f t="shared" si="6"/>
        <v>0</v>
      </c>
      <c r="X25" s="120">
        <f t="shared" si="6"/>
        <v>0</v>
      </c>
      <c r="Y25" s="120">
        <f t="shared" si="7"/>
        <v>0</v>
      </c>
      <c r="Z25" s="120">
        <f t="shared" si="8"/>
        <v>0</v>
      </c>
      <c r="AA25" s="71"/>
      <c r="AB25" s="68">
        <f>+H25*tab!F$42</f>
        <v>0</v>
      </c>
      <c r="AC25" s="68">
        <f>+I25*tab!G$42</f>
        <v>0</v>
      </c>
      <c r="AD25" s="68">
        <f>+J25*tab!H$42</f>
        <v>0</v>
      </c>
      <c r="AE25" s="68">
        <f>+K25*tab!I$42</f>
        <v>0</v>
      </c>
      <c r="AF25" s="68">
        <f>+L25*tab!J$42</f>
        <v>0</v>
      </c>
      <c r="AG25" s="71"/>
      <c r="AH25" s="599">
        <v>0</v>
      </c>
      <c r="AI25" s="120">
        <f t="shared" si="17"/>
        <v>0</v>
      </c>
      <c r="AJ25" s="120">
        <f t="shared" si="18"/>
        <v>0</v>
      </c>
      <c r="AK25" s="120">
        <f t="shared" si="19"/>
        <v>0</v>
      </c>
      <c r="AL25" s="120">
        <f t="shared" si="20"/>
        <v>0</v>
      </c>
      <c r="AM25" s="134"/>
    </row>
    <row r="26" spans="2:39" s="113" customFormat="1" x14ac:dyDescent="0.2">
      <c r="B26" s="133"/>
      <c r="C26" s="150"/>
      <c r="D26" s="50">
        <v>12</v>
      </c>
      <c r="E26" s="1100" t="str">
        <f>+'Li O school'!E26</f>
        <v>school 12</v>
      </c>
      <c r="F26" s="1100" t="str">
        <f>+'Li O school'!F26</f>
        <v>11AA</v>
      </c>
      <c r="G26" s="925">
        <v>0</v>
      </c>
      <c r="H26" s="925">
        <v>0</v>
      </c>
      <c r="I26" s="925">
        <f t="shared" si="5"/>
        <v>0</v>
      </c>
      <c r="J26" s="925">
        <f t="shared" si="5"/>
        <v>0</v>
      </c>
      <c r="K26" s="925">
        <f t="shared" si="5"/>
        <v>0</v>
      </c>
      <c r="L26" s="925">
        <f t="shared" si="5"/>
        <v>0</v>
      </c>
      <c r="M26" s="71"/>
      <c r="N26" s="68">
        <f>ROUND(G26*tab!E$39,2)</f>
        <v>0</v>
      </c>
      <c r="O26" s="68">
        <f>ROUND(H26*tab!F$39,2)</f>
        <v>0</v>
      </c>
      <c r="P26" s="68">
        <f>ROUND(I26*tab!G$39,2)</f>
        <v>0</v>
      </c>
      <c r="Q26" s="68">
        <f>ROUND(J26*tab!H$39,2)</f>
        <v>0</v>
      </c>
      <c r="R26" s="68">
        <f>ROUND(K26*tab!I$39,2)</f>
        <v>0</v>
      </c>
      <c r="S26" s="68">
        <f>ROUND(L26*tab!J$39,2)</f>
        <v>0</v>
      </c>
      <c r="T26" s="71"/>
      <c r="U26" s="153">
        <v>0</v>
      </c>
      <c r="V26" s="120">
        <f t="shared" si="6"/>
        <v>0</v>
      </c>
      <c r="W26" s="120">
        <f t="shared" si="6"/>
        <v>0</v>
      </c>
      <c r="X26" s="120">
        <f t="shared" si="6"/>
        <v>0</v>
      </c>
      <c r="Y26" s="120">
        <f t="shared" si="7"/>
        <v>0</v>
      </c>
      <c r="Z26" s="120">
        <f t="shared" si="8"/>
        <v>0</v>
      </c>
      <c r="AA26" s="71"/>
      <c r="AB26" s="68">
        <f>+H26*tab!F$42</f>
        <v>0</v>
      </c>
      <c r="AC26" s="68">
        <f>+I26*tab!G$42</f>
        <v>0</v>
      </c>
      <c r="AD26" s="68">
        <f>+J26*tab!H$42</f>
        <v>0</v>
      </c>
      <c r="AE26" s="68">
        <f>+K26*tab!I$42</f>
        <v>0</v>
      </c>
      <c r="AF26" s="68">
        <f>+L26*tab!J$42</f>
        <v>0</v>
      </c>
      <c r="AG26" s="71"/>
      <c r="AH26" s="599">
        <v>0</v>
      </c>
      <c r="AI26" s="120">
        <f t="shared" si="17"/>
        <v>0</v>
      </c>
      <c r="AJ26" s="120">
        <f t="shared" si="18"/>
        <v>0</v>
      </c>
      <c r="AK26" s="120">
        <f t="shared" si="19"/>
        <v>0</v>
      </c>
      <c r="AL26" s="120">
        <f t="shared" si="20"/>
        <v>0</v>
      </c>
      <c r="AM26" s="134"/>
    </row>
    <row r="27" spans="2:39" s="113" customFormat="1" x14ac:dyDescent="0.2">
      <c r="B27" s="133"/>
      <c r="C27" s="150"/>
      <c r="D27" s="50">
        <v>13</v>
      </c>
      <c r="E27" s="1100" t="str">
        <f>+'Li O school'!E27</f>
        <v>school 13</v>
      </c>
      <c r="F27" s="1100" t="str">
        <f>+'Li O school'!F27</f>
        <v>11AA</v>
      </c>
      <c r="G27" s="925">
        <v>0</v>
      </c>
      <c r="H27" s="925">
        <v>0</v>
      </c>
      <c r="I27" s="925">
        <f t="shared" si="5"/>
        <v>0</v>
      </c>
      <c r="J27" s="925">
        <f t="shared" si="5"/>
        <v>0</v>
      </c>
      <c r="K27" s="925">
        <f t="shared" si="5"/>
        <v>0</v>
      </c>
      <c r="L27" s="925">
        <f t="shared" si="5"/>
        <v>0</v>
      </c>
      <c r="M27" s="71"/>
      <c r="N27" s="68">
        <f>ROUND(G27*tab!E$39,2)</f>
        <v>0</v>
      </c>
      <c r="O27" s="68">
        <f>ROUND(H27*tab!F$39,2)</f>
        <v>0</v>
      </c>
      <c r="P27" s="68">
        <f>ROUND(I27*tab!G$39,2)</f>
        <v>0</v>
      </c>
      <c r="Q27" s="68">
        <f>ROUND(J27*tab!H$39,2)</f>
        <v>0</v>
      </c>
      <c r="R27" s="68">
        <f>ROUND(K27*tab!I$39,2)</f>
        <v>0</v>
      </c>
      <c r="S27" s="68">
        <f>ROUND(L27*tab!J$39,2)</f>
        <v>0</v>
      </c>
      <c r="T27" s="71"/>
      <c r="U27" s="153">
        <v>0</v>
      </c>
      <c r="V27" s="120">
        <f t="shared" si="6"/>
        <v>0</v>
      </c>
      <c r="W27" s="120">
        <f t="shared" si="6"/>
        <v>0</v>
      </c>
      <c r="X27" s="120">
        <f t="shared" si="6"/>
        <v>0</v>
      </c>
      <c r="Y27" s="120">
        <f t="shared" si="7"/>
        <v>0</v>
      </c>
      <c r="Z27" s="120">
        <f t="shared" si="8"/>
        <v>0</v>
      </c>
      <c r="AA27" s="71"/>
      <c r="AB27" s="68">
        <f>+H27*tab!F$42</f>
        <v>0</v>
      </c>
      <c r="AC27" s="68">
        <f>+I27*tab!G$42</f>
        <v>0</v>
      </c>
      <c r="AD27" s="68">
        <f>+J27*tab!H$42</f>
        <v>0</v>
      </c>
      <c r="AE27" s="68">
        <f>+K27*tab!I$42</f>
        <v>0</v>
      </c>
      <c r="AF27" s="68">
        <f>+L27*tab!J$42</f>
        <v>0</v>
      </c>
      <c r="AG27" s="71"/>
      <c r="AH27" s="599">
        <v>0</v>
      </c>
      <c r="AI27" s="120">
        <f t="shared" si="17"/>
        <v>0</v>
      </c>
      <c r="AJ27" s="120">
        <f t="shared" si="18"/>
        <v>0</v>
      </c>
      <c r="AK27" s="120">
        <f t="shared" si="19"/>
        <v>0</v>
      </c>
      <c r="AL27" s="120">
        <f t="shared" si="20"/>
        <v>0</v>
      </c>
      <c r="AM27" s="134"/>
    </row>
    <row r="28" spans="2:39" s="113" customFormat="1" x14ac:dyDescent="0.2">
      <c r="B28" s="133"/>
      <c r="C28" s="150"/>
      <c r="D28" s="50">
        <v>14</v>
      </c>
      <c r="E28" s="1100" t="str">
        <f>+'Li O school'!E28</f>
        <v>school 14</v>
      </c>
      <c r="F28" s="1100" t="str">
        <f>+'Li O school'!F28</f>
        <v>11AA</v>
      </c>
      <c r="G28" s="925">
        <v>0</v>
      </c>
      <c r="H28" s="925">
        <v>0</v>
      </c>
      <c r="I28" s="925">
        <f t="shared" si="5"/>
        <v>0</v>
      </c>
      <c r="J28" s="925">
        <f t="shared" si="5"/>
        <v>0</v>
      </c>
      <c r="K28" s="925">
        <f t="shared" si="5"/>
        <v>0</v>
      </c>
      <c r="L28" s="925">
        <f t="shared" si="5"/>
        <v>0</v>
      </c>
      <c r="M28" s="71"/>
      <c r="N28" s="68">
        <f>ROUND(G28*tab!E$39,2)</f>
        <v>0</v>
      </c>
      <c r="O28" s="68">
        <f>ROUND(H28*tab!F$39,2)</f>
        <v>0</v>
      </c>
      <c r="P28" s="68">
        <f>ROUND(I28*tab!G$39,2)</f>
        <v>0</v>
      </c>
      <c r="Q28" s="68">
        <f>ROUND(J28*tab!H$39,2)</f>
        <v>0</v>
      </c>
      <c r="R28" s="68">
        <f>ROUND(K28*tab!I$39,2)</f>
        <v>0</v>
      </c>
      <c r="S28" s="68">
        <f>ROUND(L28*tab!J$39,2)</f>
        <v>0</v>
      </c>
      <c r="T28" s="71"/>
      <c r="U28" s="153">
        <v>0</v>
      </c>
      <c r="V28" s="120">
        <f t="shared" si="6"/>
        <v>0</v>
      </c>
      <c r="W28" s="120">
        <f t="shared" si="6"/>
        <v>0</v>
      </c>
      <c r="X28" s="120">
        <f t="shared" si="6"/>
        <v>0</v>
      </c>
      <c r="Y28" s="120">
        <f t="shared" si="7"/>
        <v>0</v>
      </c>
      <c r="Z28" s="120">
        <f t="shared" si="8"/>
        <v>0</v>
      </c>
      <c r="AA28" s="71"/>
      <c r="AB28" s="68">
        <f>+H28*tab!F$42</f>
        <v>0</v>
      </c>
      <c r="AC28" s="68">
        <f>+I28*tab!G$42</f>
        <v>0</v>
      </c>
      <c r="AD28" s="68">
        <f>+J28*tab!H$42</f>
        <v>0</v>
      </c>
      <c r="AE28" s="68">
        <f>+K28*tab!I$42</f>
        <v>0</v>
      </c>
      <c r="AF28" s="68">
        <f>+L28*tab!J$42</f>
        <v>0</v>
      </c>
      <c r="AG28" s="71"/>
      <c r="AH28" s="599">
        <v>0</v>
      </c>
      <c r="AI28" s="120">
        <f t="shared" si="17"/>
        <v>0</v>
      </c>
      <c r="AJ28" s="120">
        <f t="shared" si="18"/>
        <v>0</v>
      </c>
      <c r="AK28" s="120">
        <f t="shared" si="19"/>
        <v>0</v>
      </c>
      <c r="AL28" s="120">
        <f t="shared" si="20"/>
        <v>0</v>
      </c>
      <c r="AM28" s="134"/>
    </row>
    <row r="29" spans="2:39" s="113" customFormat="1" x14ac:dyDescent="0.2">
      <c r="B29" s="133"/>
      <c r="C29" s="150"/>
      <c r="D29" s="50">
        <v>15</v>
      </c>
      <c r="E29" s="1100" t="str">
        <f>+'Li O school'!E29</f>
        <v>school 15</v>
      </c>
      <c r="F29" s="1100" t="str">
        <f>+'Li O school'!F29</f>
        <v>11AA</v>
      </c>
      <c r="G29" s="925">
        <v>0</v>
      </c>
      <c r="H29" s="925">
        <v>0</v>
      </c>
      <c r="I29" s="925">
        <f t="shared" si="5"/>
        <v>0</v>
      </c>
      <c r="J29" s="925">
        <f t="shared" si="5"/>
        <v>0</v>
      </c>
      <c r="K29" s="925">
        <f t="shared" si="5"/>
        <v>0</v>
      </c>
      <c r="L29" s="925">
        <f t="shared" si="5"/>
        <v>0</v>
      </c>
      <c r="M29" s="71"/>
      <c r="N29" s="68">
        <f>ROUND(G29*tab!E$39,2)</f>
        <v>0</v>
      </c>
      <c r="O29" s="68">
        <f>ROUND(H29*tab!F$39,2)</f>
        <v>0</v>
      </c>
      <c r="P29" s="68">
        <f>ROUND(I29*tab!G$39,2)</f>
        <v>0</v>
      </c>
      <c r="Q29" s="68">
        <f>ROUND(J29*tab!H$39,2)</f>
        <v>0</v>
      </c>
      <c r="R29" s="68">
        <f>ROUND(K29*tab!I$39,2)</f>
        <v>0</v>
      </c>
      <c r="S29" s="68">
        <f>ROUND(L29*tab!J$39,2)</f>
        <v>0</v>
      </c>
      <c r="T29" s="71"/>
      <c r="U29" s="153">
        <v>0</v>
      </c>
      <c r="V29" s="120">
        <f t="shared" si="6"/>
        <v>0</v>
      </c>
      <c r="W29" s="120">
        <f t="shared" si="6"/>
        <v>0</v>
      </c>
      <c r="X29" s="120">
        <f t="shared" si="6"/>
        <v>0</v>
      </c>
      <c r="Y29" s="120">
        <f t="shared" si="7"/>
        <v>0</v>
      </c>
      <c r="Z29" s="120">
        <f t="shared" si="8"/>
        <v>0</v>
      </c>
      <c r="AA29" s="71"/>
      <c r="AB29" s="68">
        <f>+H29*tab!F$42</f>
        <v>0</v>
      </c>
      <c r="AC29" s="68">
        <f>+I29*tab!G$42</f>
        <v>0</v>
      </c>
      <c r="AD29" s="68">
        <f>+J29*tab!H$42</f>
        <v>0</v>
      </c>
      <c r="AE29" s="68">
        <f>+K29*tab!I$42</f>
        <v>0</v>
      </c>
      <c r="AF29" s="68">
        <f>+L29*tab!J$42</f>
        <v>0</v>
      </c>
      <c r="AG29" s="71"/>
      <c r="AH29" s="599">
        <v>0</v>
      </c>
      <c r="AI29" s="120">
        <f t="shared" si="17"/>
        <v>0</v>
      </c>
      <c r="AJ29" s="120">
        <f t="shared" si="18"/>
        <v>0</v>
      </c>
      <c r="AK29" s="120">
        <f t="shared" si="19"/>
        <v>0</v>
      </c>
      <c r="AL29" s="120">
        <f t="shared" si="20"/>
        <v>0</v>
      </c>
      <c r="AM29" s="134"/>
    </row>
    <row r="30" spans="2:39" s="113" customFormat="1" x14ac:dyDescent="0.2">
      <c r="B30" s="133"/>
      <c r="C30" s="150"/>
      <c r="D30" s="50">
        <v>16</v>
      </c>
      <c r="E30" s="1100" t="str">
        <f>+'Li O school'!E30</f>
        <v>school 16</v>
      </c>
      <c r="F30" s="1100" t="str">
        <f>+'Li O school'!F30</f>
        <v>11AA</v>
      </c>
      <c r="G30" s="925">
        <v>0</v>
      </c>
      <c r="H30" s="925">
        <v>0</v>
      </c>
      <c r="I30" s="925">
        <f t="shared" si="5"/>
        <v>0</v>
      </c>
      <c r="J30" s="925">
        <f t="shared" si="5"/>
        <v>0</v>
      </c>
      <c r="K30" s="925">
        <f t="shared" si="5"/>
        <v>0</v>
      </c>
      <c r="L30" s="925">
        <f t="shared" si="5"/>
        <v>0</v>
      </c>
      <c r="M30" s="71"/>
      <c r="N30" s="68">
        <f>ROUND(G30*tab!E$39,2)</f>
        <v>0</v>
      </c>
      <c r="O30" s="68">
        <f>ROUND(H30*tab!F$39,2)</f>
        <v>0</v>
      </c>
      <c r="P30" s="68">
        <f>ROUND(I30*tab!G$39,2)</f>
        <v>0</v>
      </c>
      <c r="Q30" s="68">
        <f>ROUND(J30*tab!H$39,2)</f>
        <v>0</v>
      </c>
      <c r="R30" s="68">
        <f>ROUND(K30*tab!I$39,2)</f>
        <v>0</v>
      </c>
      <c r="S30" s="68">
        <f>ROUND(L30*tab!J$39,2)</f>
        <v>0</v>
      </c>
      <c r="T30" s="71"/>
      <c r="U30" s="153">
        <v>0</v>
      </c>
      <c r="V30" s="120">
        <f t="shared" si="6"/>
        <v>0</v>
      </c>
      <c r="W30" s="120">
        <f t="shared" si="6"/>
        <v>0</v>
      </c>
      <c r="X30" s="120">
        <f t="shared" si="6"/>
        <v>0</v>
      </c>
      <c r="Y30" s="120">
        <f t="shared" si="7"/>
        <v>0</v>
      </c>
      <c r="Z30" s="120">
        <f t="shared" si="8"/>
        <v>0</v>
      </c>
      <c r="AA30" s="71"/>
      <c r="AB30" s="68">
        <f>+H30*tab!F$42</f>
        <v>0</v>
      </c>
      <c r="AC30" s="68">
        <f>+I30*tab!G$42</f>
        <v>0</v>
      </c>
      <c r="AD30" s="68">
        <f>+J30*tab!H$42</f>
        <v>0</v>
      </c>
      <c r="AE30" s="68">
        <f>+K30*tab!I$42</f>
        <v>0</v>
      </c>
      <c r="AF30" s="68">
        <f>+L30*tab!J$42</f>
        <v>0</v>
      </c>
      <c r="AG30" s="71"/>
      <c r="AH30" s="599">
        <v>0</v>
      </c>
      <c r="AI30" s="120">
        <f t="shared" si="17"/>
        <v>0</v>
      </c>
      <c r="AJ30" s="120">
        <f t="shared" si="18"/>
        <v>0</v>
      </c>
      <c r="AK30" s="120">
        <f t="shared" si="19"/>
        <v>0</v>
      </c>
      <c r="AL30" s="120">
        <f t="shared" si="20"/>
        <v>0</v>
      </c>
      <c r="AM30" s="134"/>
    </row>
    <row r="31" spans="2:39" s="113" customFormat="1" x14ac:dyDescent="0.2">
      <c r="B31" s="133"/>
      <c r="C31" s="150"/>
      <c r="D31" s="50">
        <v>17</v>
      </c>
      <c r="E31" s="1100" t="str">
        <f>+'Li O school'!E31</f>
        <v>school 17</v>
      </c>
      <c r="F31" s="1100" t="str">
        <f>+'Li O school'!F31</f>
        <v>11AA</v>
      </c>
      <c r="G31" s="925">
        <v>0</v>
      </c>
      <c r="H31" s="925">
        <v>0</v>
      </c>
      <c r="I31" s="925">
        <f t="shared" ref="I31:I37" si="21">+H31</f>
        <v>0</v>
      </c>
      <c r="J31" s="925">
        <f t="shared" ref="J31:J37" si="22">+I31</f>
        <v>0</v>
      </c>
      <c r="K31" s="925">
        <f t="shared" ref="K31:K37" si="23">+J31</f>
        <v>0</v>
      </c>
      <c r="L31" s="925">
        <f t="shared" ref="L31:L37" si="24">+K31</f>
        <v>0</v>
      </c>
      <c r="M31" s="71"/>
      <c r="N31" s="68">
        <f>ROUND(G31*tab!E$39,2)</f>
        <v>0</v>
      </c>
      <c r="O31" s="68">
        <f>ROUND(H31*tab!F$39,2)</f>
        <v>0</v>
      </c>
      <c r="P31" s="68">
        <f>ROUND(I31*tab!G$39,2)</f>
        <v>0</v>
      </c>
      <c r="Q31" s="68">
        <f>ROUND(J31*tab!H$39,2)</f>
        <v>0</v>
      </c>
      <c r="R31" s="68">
        <f>ROUND(K31*tab!I$39,2)</f>
        <v>0</v>
      </c>
      <c r="S31" s="68">
        <f>ROUND(L31*tab!J$39,2)</f>
        <v>0</v>
      </c>
      <c r="T31" s="71"/>
      <c r="U31" s="153">
        <v>0</v>
      </c>
      <c r="V31" s="120">
        <f t="shared" si="6"/>
        <v>0</v>
      </c>
      <c r="W31" s="120">
        <f t="shared" si="6"/>
        <v>0</v>
      </c>
      <c r="X31" s="120">
        <f t="shared" si="6"/>
        <v>0</v>
      </c>
      <c r="Y31" s="120">
        <f t="shared" si="7"/>
        <v>0</v>
      </c>
      <c r="Z31" s="120">
        <f t="shared" si="8"/>
        <v>0</v>
      </c>
      <c r="AA31" s="71"/>
      <c r="AB31" s="68">
        <f>+H31*tab!F$42</f>
        <v>0</v>
      </c>
      <c r="AC31" s="68">
        <f>+I31*tab!G$42</f>
        <v>0</v>
      </c>
      <c r="AD31" s="68">
        <f>+J31*tab!H$42</f>
        <v>0</v>
      </c>
      <c r="AE31" s="68">
        <f>+K31*tab!I$42</f>
        <v>0</v>
      </c>
      <c r="AF31" s="68">
        <f>+L31*tab!J$42</f>
        <v>0</v>
      </c>
      <c r="AG31" s="71"/>
      <c r="AH31" s="599">
        <v>0</v>
      </c>
      <c r="AI31" s="120">
        <f t="shared" si="17"/>
        <v>0</v>
      </c>
      <c r="AJ31" s="120">
        <f t="shared" si="18"/>
        <v>0</v>
      </c>
      <c r="AK31" s="120">
        <f t="shared" si="19"/>
        <v>0</v>
      </c>
      <c r="AL31" s="120">
        <f t="shared" si="20"/>
        <v>0</v>
      </c>
      <c r="AM31" s="134"/>
    </row>
    <row r="32" spans="2:39" s="113" customFormat="1" x14ac:dyDescent="0.2">
      <c r="B32" s="133"/>
      <c r="C32" s="150"/>
      <c r="D32" s="50">
        <v>18</v>
      </c>
      <c r="E32" s="1100" t="str">
        <f>+'Li O school'!E32</f>
        <v>school 18</v>
      </c>
      <c r="F32" s="1100" t="str">
        <f>+'Li O school'!F32</f>
        <v>11AA</v>
      </c>
      <c r="G32" s="925">
        <v>0</v>
      </c>
      <c r="H32" s="925">
        <v>0</v>
      </c>
      <c r="I32" s="925">
        <f t="shared" si="21"/>
        <v>0</v>
      </c>
      <c r="J32" s="925">
        <f t="shared" si="22"/>
        <v>0</v>
      </c>
      <c r="K32" s="925">
        <f t="shared" si="23"/>
        <v>0</v>
      </c>
      <c r="L32" s="925">
        <f t="shared" si="24"/>
        <v>0</v>
      </c>
      <c r="M32" s="71"/>
      <c r="N32" s="68">
        <f>ROUND(G32*tab!E$39,2)</f>
        <v>0</v>
      </c>
      <c r="O32" s="68">
        <f>ROUND(H32*tab!F$39,2)</f>
        <v>0</v>
      </c>
      <c r="P32" s="68">
        <f>ROUND(I32*tab!G$39,2)</f>
        <v>0</v>
      </c>
      <c r="Q32" s="68">
        <f>ROUND(J32*tab!H$39,2)</f>
        <v>0</v>
      </c>
      <c r="R32" s="68">
        <f>ROUND(K32*tab!I$39,2)</f>
        <v>0</v>
      </c>
      <c r="S32" s="68">
        <f>ROUND(L32*tab!J$39,2)</f>
        <v>0</v>
      </c>
      <c r="T32" s="71"/>
      <c r="U32" s="153">
        <v>0</v>
      </c>
      <c r="V32" s="120">
        <f t="shared" si="6"/>
        <v>0</v>
      </c>
      <c r="W32" s="120">
        <f t="shared" si="6"/>
        <v>0</v>
      </c>
      <c r="X32" s="120">
        <f t="shared" si="6"/>
        <v>0</v>
      </c>
      <c r="Y32" s="120">
        <f t="shared" si="7"/>
        <v>0</v>
      </c>
      <c r="Z32" s="120">
        <f t="shared" si="8"/>
        <v>0</v>
      </c>
      <c r="AA32" s="71"/>
      <c r="AB32" s="68">
        <f>+H32*tab!F$42</f>
        <v>0</v>
      </c>
      <c r="AC32" s="68">
        <f>+I32*tab!G$42</f>
        <v>0</v>
      </c>
      <c r="AD32" s="68">
        <f>+J32*tab!H$42</f>
        <v>0</v>
      </c>
      <c r="AE32" s="68">
        <f>+K32*tab!I$42</f>
        <v>0</v>
      </c>
      <c r="AF32" s="68">
        <f>+L32*tab!J$42</f>
        <v>0</v>
      </c>
      <c r="AG32" s="71"/>
      <c r="AH32" s="599">
        <v>0</v>
      </c>
      <c r="AI32" s="120">
        <f t="shared" si="17"/>
        <v>0</v>
      </c>
      <c r="AJ32" s="120">
        <f t="shared" si="18"/>
        <v>0</v>
      </c>
      <c r="AK32" s="120">
        <f t="shared" si="19"/>
        <v>0</v>
      </c>
      <c r="AL32" s="120">
        <f t="shared" si="20"/>
        <v>0</v>
      </c>
      <c r="AM32" s="134"/>
    </row>
    <row r="33" spans="2:39" s="113" customFormat="1" x14ac:dyDescent="0.2">
      <c r="B33" s="133"/>
      <c r="C33" s="150"/>
      <c r="D33" s="50">
        <v>19</v>
      </c>
      <c r="E33" s="1100" t="str">
        <f>+'Li O school'!E33</f>
        <v>school 19</v>
      </c>
      <c r="F33" s="1100" t="str">
        <f>+'Li O school'!F33</f>
        <v>11AA</v>
      </c>
      <c r="G33" s="925">
        <v>0</v>
      </c>
      <c r="H33" s="925">
        <v>0</v>
      </c>
      <c r="I33" s="925">
        <f t="shared" si="21"/>
        <v>0</v>
      </c>
      <c r="J33" s="925">
        <f t="shared" si="22"/>
        <v>0</v>
      </c>
      <c r="K33" s="925">
        <f t="shared" si="23"/>
        <v>0</v>
      </c>
      <c r="L33" s="925">
        <f t="shared" si="24"/>
        <v>0</v>
      </c>
      <c r="M33" s="71"/>
      <c r="N33" s="68">
        <f>ROUND(G33*tab!E$39,2)</f>
        <v>0</v>
      </c>
      <c r="O33" s="68">
        <f>ROUND(H33*tab!F$39,2)</f>
        <v>0</v>
      </c>
      <c r="P33" s="68">
        <f>ROUND(I33*tab!G$39,2)</f>
        <v>0</v>
      </c>
      <c r="Q33" s="68">
        <f>ROUND(J33*tab!H$39,2)</f>
        <v>0</v>
      </c>
      <c r="R33" s="68">
        <f>ROUND(K33*tab!I$39,2)</f>
        <v>0</v>
      </c>
      <c r="S33" s="68">
        <f>ROUND(L33*tab!J$39,2)</f>
        <v>0</v>
      </c>
      <c r="T33" s="71"/>
      <c r="U33" s="153">
        <v>0</v>
      </c>
      <c r="V33" s="120">
        <f t="shared" si="6"/>
        <v>0</v>
      </c>
      <c r="W33" s="120">
        <f t="shared" si="6"/>
        <v>0</v>
      </c>
      <c r="X33" s="120">
        <f t="shared" si="6"/>
        <v>0</v>
      </c>
      <c r="Y33" s="120">
        <f t="shared" si="7"/>
        <v>0</v>
      </c>
      <c r="Z33" s="120">
        <f t="shared" si="8"/>
        <v>0</v>
      </c>
      <c r="AA33" s="71"/>
      <c r="AB33" s="68">
        <f>+H33*tab!F$42</f>
        <v>0</v>
      </c>
      <c r="AC33" s="68">
        <f>+I33*tab!G$42</f>
        <v>0</v>
      </c>
      <c r="AD33" s="68">
        <f>+J33*tab!H$42</f>
        <v>0</v>
      </c>
      <c r="AE33" s="68">
        <f>+K33*tab!I$42</f>
        <v>0</v>
      </c>
      <c r="AF33" s="68">
        <f>+L33*tab!J$42</f>
        <v>0</v>
      </c>
      <c r="AG33" s="71"/>
      <c r="AH33" s="599">
        <v>0</v>
      </c>
      <c r="AI33" s="120">
        <f t="shared" si="17"/>
        <v>0</v>
      </c>
      <c r="AJ33" s="120">
        <f t="shared" si="18"/>
        <v>0</v>
      </c>
      <c r="AK33" s="120">
        <f t="shared" si="19"/>
        <v>0</v>
      </c>
      <c r="AL33" s="120">
        <f t="shared" si="20"/>
        <v>0</v>
      </c>
      <c r="AM33" s="134"/>
    </row>
    <row r="34" spans="2:39" s="113" customFormat="1" x14ac:dyDescent="0.2">
      <c r="B34" s="133"/>
      <c r="C34" s="150"/>
      <c r="D34" s="50">
        <v>20</v>
      </c>
      <c r="E34" s="1100" t="str">
        <f>+'Li O school'!E34</f>
        <v>school 20</v>
      </c>
      <c r="F34" s="1100" t="str">
        <f>+'Li O school'!F34</f>
        <v>11AA</v>
      </c>
      <c r="G34" s="925">
        <v>0</v>
      </c>
      <c r="H34" s="925">
        <v>0</v>
      </c>
      <c r="I34" s="925">
        <f t="shared" si="21"/>
        <v>0</v>
      </c>
      <c r="J34" s="925">
        <f t="shared" si="22"/>
        <v>0</v>
      </c>
      <c r="K34" s="925">
        <f t="shared" si="23"/>
        <v>0</v>
      </c>
      <c r="L34" s="925">
        <f t="shared" si="24"/>
        <v>0</v>
      </c>
      <c r="M34" s="71"/>
      <c r="N34" s="68">
        <f>ROUND(G34*tab!E$39,2)</f>
        <v>0</v>
      </c>
      <c r="O34" s="68">
        <f>ROUND(H34*tab!F$39,2)</f>
        <v>0</v>
      </c>
      <c r="P34" s="68">
        <f>ROUND(I34*tab!G$39,2)</f>
        <v>0</v>
      </c>
      <c r="Q34" s="68">
        <f>ROUND(J34*tab!H$39,2)</f>
        <v>0</v>
      </c>
      <c r="R34" s="68">
        <f>ROUND(K34*tab!I$39,2)</f>
        <v>0</v>
      </c>
      <c r="S34" s="68">
        <f>ROUND(L34*tab!J$39,2)</f>
        <v>0</v>
      </c>
      <c r="T34" s="71"/>
      <c r="U34" s="153">
        <v>0</v>
      </c>
      <c r="V34" s="120">
        <f t="shared" si="6"/>
        <v>0</v>
      </c>
      <c r="W34" s="120">
        <f t="shared" si="6"/>
        <v>0</v>
      </c>
      <c r="X34" s="120">
        <f t="shared" si="6"/>
        <v>0</v>
      </c>
      <c r="Y34" s="120">
        <f t="shared" si="7"/>
        <v>0</v>
      </c>
      <c r="Z34" s="120">
        <f t="shared" si="8"/>
        <v>0</v>
      </c>
      <c r="AA34" s="71"/>
      <c r="AB34" s="68">
        <f>+H34*tab!F$42</f>
        <v>0</v>
      </c>
      <c r="AC34" s="68">
        <f>+I34*tab!G$42</f>
        <v>0</v>
      </c>
      <c r="AD34" s="68">
        <f>+J34*tab!H$42</f>
        <v>0</v>
      </c>
      <c r="AE34" s="68">
        <f>+K34*tab!I$42</f>
        <v>0</v>
      </c>
      <c r="AF34" s="68">
        <f>+L34*tab!J$42</f>
        <v>0</v>
      </c>
      <c r="AG34" s="71"/>
      <c r="AH34" s="599">
        <v>0</v>
      </c>
      <c r="AI34" s="120">
        <f t="shared" si="17"/>
        <v>0</v>
      </c>
      <c r="AJ34" s="120">
        <f t="shared" si="18"/>
        <v>0</v>
      </c>
      <c r="AK34" s="120">
        <f t="shared" si="19"/>
        <v>0</v>
      </c>
      <c r="AL34" s="120">
        <f t="shared" si="20"/>
        <v>0</v>
      </c>
      <c r="AM34" s="134"/>
    </row>
    <row r="35" spans="2:39" s="113" customFormat="1" x14ac:dyDescent="0.2">
      <c r="B35" s="133"/>
      <c r="C35" s="150"/>
      <c r="D35" s="50">
        <v>21</v>
      </c>
      <c r="E35" s="1100" t="str">
        <f>+'Li O school'!E35</f>
        <v>school 21</v>
      </c>
      <c r="F35" s="1100" t="str">
        <f>+'Li O school'!F35</f>
        <v>11AA</v>
      </c>
      <c r="G35" s="925">
        <v>0</v>
      </c>
      <c r="H35" s="925">
        <v>0</v>
      </c>
      <c r="I35" s="925">
        <f t="shared" si="21"/>
        <v>0</v>
      </c>
      <c r="J35" s="925">
        <f t="shared" si="22"/>
        <v>0</v>
      </c>
      <c r="K35" s="925">
        <f t="shared" si="23"/>
        <v>0</v>
      </c>
      <c r="L35" s="925">
        <f t="shared" si="24"/>
        <v>0</v>
      </c>
      <c r="M35" s="71"/>
      <c r="N35" s="68">
        <f>ROUND(G35*tab!E$39,2)</f>
        <v>0</v>
      </c>
      <c r="O35" s="68">
        <f>ROUND(H35*tab!F$39,2)</f>
        <v>0</v>
      </c>
      <c r="P35" s="68">
        <f>ROUND(I35*tab!G$39,2)</f>
        <v>0</v>
      </c>
      <c r="Q35" s="68">
        <f>ROUND(J35*tab!H$39,2)</f>
        <v>0</v>
      </c>
      <c r="R35" s="68">
        <f>ROUND(K35*tab!I$39,2)</f>
        <v>0</v>
      </c>
      <c r="S35" s="68">
        <f>ROUND(L35*tab!J$39,2)</f>
        <v>0</v>
      </c>
      <c r="T35" s="71"/>
      <c r="U35" s="153">
        <v>0</v>
      </c>
      <c r="V35" s="120">
        <f t="shared" ref="V35:X54" si="25">U35</f>
        <v>0</v>
      </c>
      <c r="W35" s="120">
        <f t="shared" si="25"/>
        <v>0</v>
      </c>
      <c r="X35" s="120">
        <f t="shared" si="25"/>
        <v>0</v>
      </c>
      <c r="Y35" s="120">
        <f t="shared" si="7"/>
        <v>0</v>
      </c>
      <c r="Z35" s="120">
        <f t="shared" si="8"/>
        <v>0</v>
      </c>
      <c r="AA35" s="71"/>
      <c r="AB35" s="68">
        <f>+H35*tab!F$42</f>
        <v>0</v>
      </c>
      <c r="AC35" s="68">
        <f>+I35*tab!G$42</f>
        <v>0</v>
      </c>
      <c r="AD35" s="68">
        <f>+J35*tab!H$42</f>
        <v>0</v>
      </c>
      <c r="AE35" s="68">
        <f>+K35*tab!I$42</f>
        <v>0</v>
      </c>
      <c r="AF35" s="68">
        <f>+L35*tab!J$42</f>
        <v>0</v>
      </c>
      <c r="AG35" s="71"/>
      <c r="AH35" s="599">
        <v>0</v>
      </c>
      <c r="AI35" s="120">
        <f t="shared" si="17"/>
        <v>0</v>
      </c>
      <c r="AJ35" s="120">
        <f t="shared" si="18"/>
        <v>0</v>
      </c>
      <c r="AK35" s="120">
        <f t="shared" si="19"/>
        <v>0</v>
      </c>
      <c r="AL35" s="120">
        <f t="shared" si="20"/>
        <v>0</v>
      </c>
      <c r="AM35" s="134"/>
    </row>
    <row r="36" spans="2:39" s="113" customFormat="1" x14ac:dyDescent="0.2">
      <c r="B36" s="133"/>
      <c r="C36" s="150"/>
      <c r="D36" s="50">
        <v>22</v>
      </c>
      <c r="E36" s="1100" t="str">
        <f>+'Li O school'!E36</f>
        <v>school 22</v>
      </c>
      <c r="F36" s="1100" t="str">
        <f>+'Li O school'!F36</f>
        <v>11AA</v>
      </c>
      <c r="G36" s="925">
        <v>0</v>
      </c>
      <c r="H36" s="925">
        <v>0</v>
      </c>
      <c r="I36" s="925">
        <f t="shared" si="21"/>
        <v>0</v>
      </c>
      <c r="J36" s="925">
        <f t="shared" si="22"/>
        <v>0</v>
      </c>
      <c r="K36" s="925">
        <f t="shared" si="23"/>
        <v>0</v>
      </c>
      <c r="L36" s="925">
        <f t="shared" si="24"/>
        <v>0</v>
      </c>
      <c r="M36" s="71"/>
      <c r="N36" s="68">
        <f>ROUND(G36*tab!E$39,2)</f>
        <v>0</v>
      </c>
      <c r="O36" s="68">
        <f>ROUND(H36*tab!F$39,2)</f>
        <v>0</v>
      </c>
      <c r="P36" s="68">
        <f>ROUND(I36*tab!G$39,2)</f>
        <v>0</v>
      </c>
      <c r="Q36" s="68">
        <f>ROUND(J36*tab!H$39,2)</f>
        <v>0</v>
      </c>
      <c r="R36" s="68">
        <f>ROUND(K36*tab!I$39,2)</f>
        <v>0</v>
      </c>
      <c r="S36" s="68">
        <f>ROUND(L36*tab!J$39,2)</f>
        <v>0</v>
      </c>
      <c r="T36" s="71"/>
      <c r="U36" s="153">
        <v>0</v>
      </c>
      <c r="V36" s="120">
        <f t="shared" si="25"/>
        <v>0</v>
      </c>
      <c r="W36" s="120">
        <f t="shared" si="25"/>
        <v>0</v>
      </c>
      <c r="X36" s="120">
        <f t="shared" si="25"/>
        <v>0</v>
      </c>
      <c r="Y36" s="120">
        <f t="shared" si="7"/>
        <v>0</v>
      </c>
      <c r="Z36" s="120">
        <f t="shared" si="8"/>
        <v>0</v>
      </c>
      <c r="AA36" s="71"/>
      <c r="AB36" s="68">
        <f>+H36*tab!F$42</f>
        <v>0</v>
      </c>
      <c r="AC36" s="68">
        <f>+I36*tab!G$42</f>
        <v>0</v>
      </c>
      <c r="AD36" s="68">
        <f>+J36*tab!H$42</f>
        <v>0</v>
      </c>
      <c r="AE36" s="68">
        <f>+K36*tab!I$42</f>
        <v>0</v>
      </c>
      <c r="AF36" s="68">
        <f>+L36*tab!J$42</f>
        <v>0</v>
      </c>
      <c r="AG36" s="71"/>
      <c r="AH36" s="599">
        <v>0</v>
      </c>
      <c r="AI36" s="120">
        <f t="shared" si="17"/>
        <v>0</v>
      </c>
      <c r="AJ36" s="120">
        <f t="shared" si="18"/>
        <v>0</v>
      </c>
      <c r="AK36" s="120">
        <f t="shared" si="19"/>
        <v>0</v>
      </c>
      <c r="AL36" s="120">
        <f t="shared" si="20"/>
        <v>0</v>
      </c>
      <c r="AM36" s="134"/>
    </row>
    <row r="37" spans="2:39" s="113" customFormat="1" x14ac:dyDescent="0.2">
      <c r="B37" s="133"/>
      <c r="C37" s="150"/>
      <c r="D37" s="50">
        <v>23</v>
      </c>
      <c r="E37" s="1100" t="str">
        <f>+'Li O school'!E37</f>
        <v>school 23</v>
      </c>
      <c r="F37" s="1100" t="str">
        <f>+'Li O school'!F37</f>
        <v>11AA</v>
      </c>
      <c r="G37" s="925">
        <v>0</v>
      </c>
      <c r="H37" s="925">
        <v>0</v>
      </c>
      <c r="I37" s="925">
        <f t="shared" si="21"/>
        <v>0</v>
      </c>
      <c r="J37" s="925">
        <f t="shared" si="22"/>
        <v>0</v>
      </c>
      <c r="K37" s="925">
        <f t="shared" si="23"/>
        <v>0</v>
      </c>
      <c r="L37" s="925">
        <f t="shared" si="24"/>
        <v>0</v>
      </c>
      <c r="M37" s="71"/>
      <c r="N37" s="68">
        <f>ROUND(G37*tab!E$39,2)</f>
        <v>0</v>
      </c>
      <c r="O37" s="68">
        <f>ROUND(H37*tab!F$39,2)</f>
        <v>0</v>
      </c>
      <c r="P37" s="68">
        <f>ROUND(I37*tab!G$39,2)</f>
        <v>0</v>
      </c>
      <c r="Q37" s="68">
        <f>ROUND(J37*tab!H$39,2)</f>
        <v>0</v>
      </c>
      <c r="R37" s="68">
        <f>ROUND(K37*tab!I$39,2)</f>
        <v>0</v>
      </c>
      <c r="S37" s="68">
        <f>ROUND(L37*tab!J$39,2)</f>
        <v>0</v>
      </c>
      <c r="T37" s="71"/>
      <c r="U37" s="153">
        <v>0</v>
      </c>
      <c r="V37" s="120">
        <f t="shared" si="25"/>
        <v>0</v>
      </c>
      <c r="W37" s="120">
        <f t="shared" si="25"/>
        <v>0</v>
      </c>
      <c r="X37" s="120">
        <f t="shared" si="25"/>
        <v>0</v>
      </c>
      <c r="Y37" s="120">
        <f t="shared" si="7"/>
        <v>0</v>
      </c>
      <c r="Z37" s="120">
        <f t="shared" si="8"/>
        <v>0</v>
      </c>
      <c r="AA37" s="71"/>
      <c r="AB37" s="68">
        <f>+H37*tab!F$42</f>
        <v>0</v>
      </c>
      <c r="AC37" s="68">
        <f>+I37*tab!G$42</f>
        <v>0</v>
      </c>
      <c r="AD37" s="68">
        <f>+J37*tab!H$42</f>
        <v>0</v>
      </c>
      <c r="AE37" s="68">
        <f>+K37*tab!I$42</f>
        <v>0</v>
      </c>
      <c r="AF37" s="68">
        <f>+L37*tab!J$42</f>
        <v>0</v>
      </c>
      <c r="AG37" s="71"/>
      <c r="AH37" s="599">
        <v>0</v>
      </c>
      <c r="AI37" s="120">
        <f t="shared" si="17"/>
        <v>0</v>
      </c>
      <c r="AJ37" s="120">
        <f t="shared" si="18"/>
        <v>0</v>
      </c>
      <c r="AK37" s="120">
        <f t="shared" si="19"/>
        <v>0</v>
      </c>
      <c r="AL37" s="120">
        <f t="shared" si="20"/>
        <v>0</v>
      </c>
      <c r="AM37" s="134"/>
    </row>
    <row r="38" spans="2:39" s="113" customFormat="1" x14ac:dyDescent="0.2">
      <c r="B38" s="133"/>
      <c r="C38" s="150"/>
      <c r="D38" s="50">
        <v>24</v>
      </c>
      <c r="E38" s="1100" t="str">
        <f>+'Li O school'!E38</f>
        <v>school 24</v>
      </c>
      <c r="F38" s="1100" t="str">
        <f>+'Li O school'!F38</f>
        <v>11AA</v>
      </c>
      <c r="G38" s="925">
        <v>0</v>
      </c>
      <c r="H38" s="925">
        <v>0</v>
      </c>
      <c r="I38" s="119">
        <f t="shared" ref="I38:I40" si="26">H38</f>
        <v>0</v>
      </c>
      <c r="J38" s="119">
        <f t="shared" ref="J38:J40" si="27">I38</f>
        <v>0</v>
      </c>
      <c r="K38" s="119">
        <f t="shared" ref="K38:K78" si="28">J38</f>
        <v>0</v>
      </c>
      <c r="L38" s="119">
        <f t="shared" ref="L38:L78" si="29">K38</f>
        <v>0</v>
      </c>
      <c r="M38" s="71"/>
      <c r="N38" s="68">
        <f>ROUND(G38*tab!E$39,2)</f>
        <v>0</v>
      </c>
      <c r="O38" s="68">
        <f>ROUND(H38*tab!F$39,2)</f>
        <v>0</v>
      </c>
      <c r="P38" s="68">
        <f>ROUND(I38*tab!G$39,2)</f>
        <v>0</v>
      </c>
      <c r="Q38" s="68">
        <f>ROUND(J38*tab!H$39,2)</f>
        <v>0</v>
      </c>
      <c r="R38" s="68">
        <f>ROUND(K38*tab!I$39,2)</f>
        <v>0</v>
      </c>
      <c r="S38" s="68">
        <f>ROUND(L38*tab!J$39,2)</f>
        <v>0</v>
      </c>
      <c r="T38" s="71"/>
      <c r="U38" s="153">
        <v>0</v>
      </c>
      <c r="V38" s="120">
        <f t="shared" si="25"/>
        <v>0</v>
      </c>
      <c r="W38" s="120">
        <f t="shared" si="25"/>
        <v>0</v>
      </c>
      <c r="X38" s="120">
        <f t="shared" si="25"/>
        <v>0</v>
      </c>
      <c r="Y38" s="120">
        <f t="shared" si="7"/>
        <v>0</v>
      </c>
      <c r="Z38" s="120">
        <f t="shared" si="8"/>
        <v>0</v>
      </c>
      <c r="AA38" s="71"/>
      <c r="AB38" s="68">
        <f>+H38*tab!F$42</f>
        <v>0</v>
      </c>
      <c r="AC38" s="68">
        <f>+I38*tab!G$42</f>
        <v>0</v>
      </c>
      <c r="AD38" s="68">
        <f>+J38*tab!H$42</f>
        <v>0</v>
      </c>
      <c r="AE38" s="68">
        <f>+K38*tab!I$42</f>
        <v>0</v>
      </c>
      <c r="AF38" s="68">
        <f>+L38*tab!J$42</f>
        <v>0</v>
      </c>
      <c r="AG38" s="71"/>
      <c r="AH38" s="599">
        <v>0</v>
      </c>
      <c r="AI38" s="120">
        <f t="shared" si="17"/>
        <v>0</v>
      </c>
      <c r="AJ38" s="120">
        <f t="shared" si="18"/>
        <v>0</v>
      </c>
      <c r="AK38" s="120">
        <f t="shared" si="19"/>
        <v>0</v>
      </c>
      <c r="AL38" s="120">
        <f t="shared" si="20"/>
        <v>0</v>
      </c>
      <c r="AM38" s="134"/>
    </row>
    <row r="39" spans="2:39" s="113" customFormat="1" x14ac:dyDescent="0.2">
      <c r="B39" s="133"/>
      <c r="C39" s="150"/>
      <c r="D39" s="50">
        <v>25</v>
      </c>
      <c r="E39" s="1100" t="str">
        <f>+'Li O school'!E39</f>
        <v>school 25</v>
      </c>
      <c r="F39" s="1100" t="str">
        <f>+'Li O school'!F39</f>
        <v>11AA</v>
      </c>
      <c r="G39" s="925">
        <v>0</v>
      </c>
      <c r="H39" s="925">
        <v>0</v>
      </c>
      <c r="I39" s="119">
        <f t="shared" si="26"/>
        <v>0</v>
      </c>
      <c r="J39" s="119">
        <f t="shared" si="27"/>
        <v>0</v>
      </c>
      <c r="K39" s="119">
        <f t="shared" si="28"/>
        <v>0</v>
      </c>
      <c r="L39" s="119">
        <f t="shared" si="29"/>
        <v>0</v>
      </c>
      <c r="M39" s="71"/>
      <c r="N39" s="68">
        <f>ROUND(G39*tab!E$39,2)</f>
        <v>0</v>
      </c>
      <c r="O39" s="68">
        <f>ROUND(H39*tab!F$39,2)</f>
        <v>0</v>
      </c>
      <c r="P39" s="68">
        <f>ROUND(I39*tab!G$39,2)</f>
        <v>0</v>
      </c>
      <c r="Q39" s="68">
        <f>ROUND(J39*tab!H$39,2)</f>
        <v>0</v>
      </c>
      <c r="R39" s="68">
        <f>ROUND(K39*tab!I$39,2)</f>
        <v>0</v>
      </c>
      <c r="S39" s="68">
        <f>ROUND(L39*tab!J$39,2)</f>
        <v>0</v>
      </c>
      <c r="T39" s="71"/>
      <c r="U39" s="153">
        <v>0</v>
      </c>
      <c r="V39" s="120">
        <f t="shared" si="25"/>
        <v>0</v>
      </c>
      <c r="W39" s="120">
        <f t="shared" si="25"/>
        <v>0</v>
      </c>
      <c r="X39" s="120">
        <f t="shared" si="25"/>
        <v>0</v>
      </c>
      <c r="Y39" s="120">
        <f t="shared" si="7"/>
        <v>0</v>
      </c>
      <c r="Z39" s="120">
        <f t="shared" si="8"/>
        <v>0</v>
      </c>
      <c r="AA39" s="71"/>
      <c r="AB39" s="68">
        <f>+H39*tab!F$42</f>
        <v>0</v>
      </c>
      <c r="AC39" s="68">
        <f>+I39*tab!G$42</f>
        <v>0</v>
      </c>
      <c r="AD39" s="68">
        <f>+J39*tab!H$42</f>
        <v>0</v>
      </c>
      <c r="AE39" s="68">
        <f>+K39*tab!I$42</f>
        <v>0</v>
      </c>
      <c r="AF39" s="68">
        <f>+L39*tab!J$42</f>
        <v>0</v>
      </c>
      <c r="AG39" s="71"/>
      <c r="AH39" s="599">
        <v>0</v>
      </c>
      <c r="AI39" s="120">
        <f t="shared" si="17"/>
        <v>0</v>
      </c>
      <c r="AJ39" s="120">
        <f t="shared" si="18"/>
        <v>0</v>
      </c>
      <c r="AK39" s="120">
        <f t="shared" si="19"/>
        <v>0</v>
      </c>
      <c r="AL39" s="120">
        <f t="shared" si="20"/>
        <v>0</v>
      </c>
      <c r="AM39" s="134"/>
    </row>
    <row r="40" spans="2:39" s="113" customFormat="1" x14ac:dyDescent="0.2">
      <c r="B40" s="133"/>
      <c r="C40" s="150"/>
      <c r="D40" s="50">
        <v>26</v>
      </c>
      <c r="E40" s="1100" t="str">
        <f>+'Li O school'!E40</f>
        <v>school 26</v>
      </c>
      <c r="F40" s="1100" t="str">
        <f>+'Li O school'!F40</f>
        <v>11AA</v>
      </c>
      <c r="G40" s="925">
        <v>0</v>
      </c>
      <c r="H40" s="925">
        <v>0</v>
      </c>
      <c r="I40" s="119">
        <f t="shared" si="26"/>
        <v>0</v>
      </c>
      <c r="J40" s="119">
        <f t="shared" si="27"/>
        <v>0</v>
      </c>
      <c r="K40" s="119">
        <f t="shared" si="28"/>
        <v>0</v>
      </c>
      <c r="L40" s="119">
        <f t="shared" si="29"/>
        <v>0</v>
      </c>
      <c r="M40" s="71"/>
      <c r="N40" s="68">
        <f>ROUND(G40*tab!E$39,2)</f>
        <v>0</v>
      </c>
      <c r="O40" s="68">
        <f>ROUND(H40*tab!F$39,2)</f>
        <v>0</v>
      </c>
      <c r="P40" s="68">
        <f>ROUND(I40*tab!G$39,2)</f>
        <v>0</v>
      </c>
      <c r="Q40" s="68">
        <f>ROUND(J40*tab!H$39,2)</f>
        <v>0</v>
      </c>
      <c r="R40" s="68">
        <f>ROUND(K40*tab!I$39,2)</f>
        <v>0</v>
      </c>
      <c r="S40" s="68">
        <f>ROUND(L40*tab!J$39,2)</f>
        <v>0</v>
      </c>
      <c r="T40" s="71"/>
      <c r="U40" s="153">
        <v>0</v>
      </c>
      <c r="V40" s="120">
        <f t="shared" si="25"/>
        <v>0</v>
      </c>
      <c r="W40" s="120">
        <f t="shared" si="25"/>
        <v>0</v>
      </c>
      <c r="X40" s="120">
        <f t="shared" si="25"/>
        <v>0</v>
      </c>
      <c r="Y40" s="120">
        <f t="shared" si="7"/>
        <v>0</v>
      </c>
      <c r="Z40" s="120">
        <f t="shared" si="8"/>
        <v>0</v>
      </c>
      <c r="AA40" s="71"/>
      <c r="AB40" s="68">
        <f>+H40*tab!F$42</f>
        <v>0</v>
      </c>
      <c r="AC40" s="68">
        <f>+I40*tab!G$42</f>
        <v>0</v>
      </c>
      <c r="AD40" s="68">
        <f>+J40*tab!H$42</f>
        <v>0</v>
      </c>
      <c r="AE40" s="68">
        <f>+K40*tab!I$42</f>
        <v>0</v>
      </c>
      <c r="AF40" s="68">
        <f>+L40*tab!J$42</f>
        <v>0</v>
      </c>
      <c r="AG40" s="71"/>
      <c r="AH40" s="599">
        <v>0</v>
      </c>
      <c r="AI40" s="120">
        <f t="shared" si="17"/>
        <v>0</v>
      </c>
      <c r="AJ40" s="120">
        <f t="shared" si="18"/>
        <v>0</v>
      </c>
      <c r="AK40" s="120">
        <f t="shared" si="19"/>
        <v>0</v>
      </c>
      <c r="AL40" s="120">
        <f t="shared" si="20"/>
        <v>0</v>
      </c>
      <c r="AM40" s="134"/>
    </row>
    <row r="41" spans="2:39" s="113" customFormat="1" x14ac:dyDescent="0.2">
      <c r="B41" s="133"/>
      <c r="C41" s="150"/>
      <c r="D41" s="50">
        <v>27</v>
      </c>
      <c r="E41" s="1100" t="str">
        <f>+'Li O school'!E41</f>
        <v>school 27</v>
      </c>
      <c r="F41" s="1100" t="str">
        <f>+'Li O school'!F41</f>
        <v>11AA</v>
      </c>
      <c r="G41" s="925">
        <v>0</v>
      </c>
      <c r="H41" s="925">
        <v>0</v>
      </c>
      <c r="I41" s="119">
        <f t="shared" ref="I41:J54" si="30">H41</f>
        <v>0</v>
      </c>
      <c r="J41" s="119">
        <f t="shared" si="30"/>
        <v>0</v>
      </c>
      <c r="K41" s="119">
        <f t="shared" si="28"/>
        <v>0</v>
      </c>
      <c r="L41" s="119">
        <f t="shared" si="29"/>
        <v>0</v>
      </c>
      <c r="M41" s="71"/>
      <c r="N41" s="68">
        <f>ROUND(G41*tab!E$39,2)</f>
        <v>0</v>
      </c>
      <c r="O41" s="68">
        <f>ROUND(H41*tab!F$39,2)</f>
        <v>0</v>
      </c>
      <c r="P41" s="68">
        <f>ROUND(I41*tab!G$39,2)</f>
        <v>0</v>
      </c>
      <c r="Q41" s="68">
        <f>ROUND(J41*tab!H$39,2)</f>
        <v>0</v>
      </c>
      <c r="R41" s="68">
        <f>ROUND(K41*tab!I$39,2)</f>
        <v>0</v>
      </c>
      <c r="S41" s="68">
        <f>ROUND(L41*tab!J$39,2)</f>
        <v>0</v>
      </c>
      <c r="T41" s="71"/>
      <c r="U41" s="153">
        <v>0</v>
      </c>
      <c r="V41" s="120">
        <f t="shared" si="25"/>
        <v>0</v>
      </c>
      <c r="W41" s="120">
        <f t="shared" si="25"/>
        <v>0</v>
      </c>
      <c r="X41" s="120">
        <f t="shared" si="25"/>
        <v>0</v>
      </c>
      <c r="Y41" s="120">
        <f t="shared" si="7"/>
        <v>0</v>
      </c>
      <c r="Z41" s="120">
        <f t="shared" si="8"/>
        <v>0</v>
      </c>
      <c r="AA41" s="71"/>
      <c r="AB41" s="68">
        <f>+H41*tab!F$42</f>
        <v>0</v>
      </c>
      <c r="AC41" s="68">
        <f>+I41*tab!G$42</f>
        <v>0</v>
      </c>
      <c r="AD41" s="68">
        <f>+J41*tab!H$42</f>
        <v>0</v>
      </c>
      <c r="AE41" s="68">
        <f>+K41*tab!I$42</f>
        <v>0</v>
      </c>
      <c r="AF41" s="68">
        <f>+L41*tab!J$42</f>
        <v>0</v>
      </c>
      <c r="AG41" s="71"/>
      <c r="AH41" s="599">
        <v>0</v>
      </c>
      <c r="AI41" s="120">
        <f t="shared" si="17"/>
        <v>0</v>
      </c>
      <c r="AJ41" s="120">
        <f t="shared" si="18"/>
        <v>0</v>
      </c>
      <c r="AK41" s="120">
        <f t="shared" si="19"/>
        <v>0</v>
      </c>
      <c r="AL41" s="120">
        <f t="shared" si="20"/>
        <v>0</v>
      </c>
      <c r="AM41" s="134"/>
    </row>
    <row r="42" spans="2:39" s="113" customFormat="1" x14ac:dyDescent="0.2">
      <c r="B42" s="133"/>
      <c r="C42" s="150"/>
      <c r="D42" s="50">
        <v>28</v>
      </c>
      <c r="E42" s="1100" t="str">
        <f>+'Li O school'!E42</f>
        <v>school 28</v>
      </c>
      <c r="F42" s="1100" t="str">
        <f>+'Li O school'!F42</f>
        <v>11AA</v>
      </c>
      <c r="G42" s="925">
        <v>0</v>
      </c>
      <c r="H42" s="925">
        <v>0</v>
      </c>
      <c r="I42" s="119">
        <f t="shared" si="30"/>
        <v>0</v>
      </c>
      <c r="J42" s="119">
        <f t="shared" si="30"/>
        <v>0</v>
      </c>
      <c r="K42" s="119">
        <f t="shared" si="28"/>
        <v>0</v>
      </c>
      <c r="L42" s="119">
        <f t="shared" si="29"/>
        <v>0</v>
      </c>
      <c r="M42" s="71"/>
      <c r="N42" s="68">
        <f>ROUND(G42*tab!E$39,2)</f>
        <v>0</v>
      </c>
      <c r="O42" s="68">
        <f>ROUND(H42*tab!F$39,2)</f>
        <v>0</v>
      </c>
      <c r="P42" s="68">
        <f>ROUND(I42*tab!G$39,2)</f>
        <v>0</v>
      </c>
      <c r="Q42" s="68">
        <f>ROUND(J42*tab!H$39,2)</f>
        <v>0</v>
      </c>
      <c r="R42" s="68">
        <f>ROUND(K42*tab!I$39,2)</f>
        <v>0</v>
      </c>
      <c r="S42" s="68">
        <f>ROUND(L42*tab!J$39,2)</f>
        <v>0</v>
      </c>
      <c r="T42" s="71"/>
      <c r="U42" s="153">
        <v>0</v>
      </c>
      <c r="V42" s="120">
        <f t="shared" si="25"/>
        <v>0</v>
      </c>
      <c r="W42" s="120">
        <f t="shared" si="25"/>
        <v>0</v>
      </c>
      <c r="X42" s="120">
        <f t="shared" si="25"/>
        <v>0</v>
      </c>
      <c r="Y42" s="120">
        <f t="shared" si="7"/>
        <v>0</v>
      </c>
      <c r="Z42" s="120">
        <f t="shared" si="8"/>
        <v>0</v>
      </c>
      <c r="AA42" s="71"/>
      <c r="AB42" s="68">
        <f>+H42*tab!F$42</f>
        <v>0</v>
      </c>
      <c r="AC42" s="68">
        <f>+I42*tab!G$42</f>
        <v>0</v>
      </c>
      <c r="AD42" s="68">
        <f>+J42*tab!H$42</f>
        <v>0</v>
      </c>
      <c r="AE42" s="68">
        <f>+K42*tab!I$42</f>
        <v>0</v>
      </c>
      <c r="AF42" s="68">
        <f>+L42*tab!J$42</f>
        <v>0</v>
      </c>
      <c r="AG42" s="71"/>
      <c r="AH42" s="599">
        <v>0</v>
      </c>
      <c r="AI42" s="120">
        <f t="shared" si="17"/>
        <v>0</v>
      </c>
      <c r="AJ42" s="120">
        <f t="shared" si="18"/>
        <v>0</v>
      </c>
      <c r="AK42" s="120">
        <f t="shared" si="19"/>
        <v>0</v>
      </c>
      <c r="AL42" s="120">
        <f t="shared" si="20"/>
        <v>0</v>
      </c>
      <c r="AM42" s="134"/>
    </row>
    <row r="43" spans="2:39" s="113" customFormat="1" x14ac:dyDescent="0.2">
      <c r="B43" s="133"/>
      <c r="C43" s="150"/>
      <c r="D43" s="50">
        <v>29</v>
      </c>
      <c r="E43" s="1100" t="str">
        <f>+'Li O school'!E43</f>
        <v>school 29</v>
      </c>
      <c r="F43" s="1100" t="str">
        <f>+'Li O school'!F43</f>
        <v>11AA</v>
      </c>
      <c r="G43" s="925">
        <v>0</v>
      </c>
      <c r="H43" s="925">
        <v>0</v>
      </c>
      <c r="I43" s="119">
        <f t="shared" si="30"/>
        <v>0</v>
      </c>
      <c r="J43" s="119">
        <f t="shared" si="30"/>
        <v>0</v>
      </c>
      <c r="K43" s="119">
        <f t="shared" si="28"/>
        <v>0</v>
      </c>
      <c r="L43" s="119">
        <f t="shared" si="29"/>
        <v>0</v>
      </c>
      <c r="M43" s="71"/>
      <c r="N43" s="68">
        <f>ROUND(G43*tab!E$39,2)</f>
        <v>0</v>
      </c>
      <c r="O43" s="68">
        <f>ROUND(H43*tab!F$39,2)</f>
        <v>0</v>
      </c>
      <c r="P43" s="68">
        <f>ROUND(I43*tab!G$39,2)</f>
        <v>0</v>
      </c>
      <c r="Q43" s="68">
        <f>ROUND(J43*tab!H$39,2)</f>
        <v>0</v>
      </c>
      <c r="R43" s="68">
        <f>ROUND(K43*tab!I$39,2)</f>
        <v>0</v>
      </c>
      <c r="S43" s="68">
        <f>ROUND(L43*tab!J$39,2)</f>
        <v>0</v>
      </c>
      <c r="T43" s="71"/>
      <c r="U43" s="153">
        <v>0</v>
      </c>
      <c r="V43" s="120">
        <f t="shared" si="25"/>
        <v>0</v>
      </c>
      <c r="W43" s="120">
        <f t="shared" si="25"/>
        <v>0</v>
      </c>
      <c r="X43" s="120">
        <f t="shared" si="25"/>
        <v>0</v>
      </c>
      <c r="Y43" s="120">
        <f t="shared" si="7"/>
        <v>0</v>
      </c>
      <c r="Z43" s="120">
        <f t="shared" si="8"/>
        <v>0</v>
      </c>
      <c r="AA43" s="71"/>
      <c r="AB43" s="68">
        <f>+H43*tab!F$42</f>
        <v>0</v>
      </c>
      <c r="AC43" s="68">
        <f>+I43*tab!G$42</f>
        <v>0</v>
      </c>
      <c r="AD43" s="68">
        <f>+J43*tab!H$42</f>
        <v>0</v>
      </c>
      <c r="AE43" s="68">
        <f>+K43*tab!I$42</f>
        <v>0</v>
      </c>
      <c r="AF43" s="68">
        <f>+L43*tab!J$42</f>
        <v>0</v>
      </c>
      <c r="AG43" s="71"/>
      <c r="AH43" s="599">
        <v>0</v>
      </c>
      <c r="AI43" s="120">
        <f t="shared" si="17"/>
        <v>0</v>
      </c>
      <c r="AJ43" s="120">
        <f t="shared" si="18"/>
        <v>0</v>
      </c>
      <c r="AK43" s="120">
        <f t="shared" si="19"/>
        <v>0</v>
      </c>
      <c r="AL43" s="120">
        <f t="shared" si="20"/>
        <v>0</v>
      </c>
      <c r="AM43" s="134"/>
    </row>
    <row r="44" spans="2:39" s="113" customFormat="1" x14ac:dyDescent="0.2">
      <c r="B44" s="133"/>
      <c r="C44" s="150"/>
      <c r="D44" s="50">
        <v>30</v>
      </c>
      <c r="E44" s="1100" t="str">
        <f>+'Li O school'!E44</f>
        <v>school 30</v>
      </c>
      <c r="F44" s="1100" t="str">
        <f>+'Li O school'!F44</f>
        <v>11AA</v>
      </c>
      <c r="G44" s="925">
        <v>0</v>
      </c>
      <c r="H44" s="925">
        <v>0</v>
      </c>
      <c r="I44" s="119">
        <f t="shared" si="30"/>
        <v>0</v>
      </c>
      <c r="J44" s="119">
        <f t="shared" si="30"/>
        <v>0</v>
      </c>
      <c r="K44" s="119">
        <f t="shared" si="28"/>
        <v>0</v>
      </c>
      <c r="L44" s="119">
        <f t="shared" si="29"/>
        <v>0</v>
      </c>
      <c r="M44" s="71"/>
      <c r="N44" s="68">
        <f>ROUND(G44*tab!E$39,2)</f>
        <v>0</v>
      </c>
      <c r="O44" s="68">
        <f>ROUND(H44*tab!F$39,2)</f>
        <v>0</v>
      </c>
      <c r="P44" s="68">
        <f>ROUND(I44*tab!G$39,2)</f>
        <v>0</v>
      </c>
      <c r="Q44" s="68">
        <f>ROUND(J44*tab!H$39,2)</f>
        <v>0</v>
      </c>
      <c r="R44" s="68">
        <f>ROUND(K44*tab!I$39,2)</f>
        <v>0</v>
      </c>
      <c r="S44" s="68">
        <f>ROUND(L44*tab!J$39,2)</f>
        <v>0</v>
      </c>
      <c r="T44" s="71"/>
      <c r="U44" s="153">
        <v>0</v>
      </c>
      <c r="V44" s="120">
        <f t="shared" si="25"/>
        <v>0</v>
      </c>
      <c r="W44" s="120">
        <f t="shared" si="25"/>
        <v>0</v>
      </c>
      <c r="X44" s="120">
        <f t="shared" si="25"/>
        <v>0</v>
      </c>
      <c r="Y44" s="120">
        <f t="shared" si="7"/>
        <v>0</v>
      </c>
      <c r="Z44" s="120">
        <f t="shared" si="8"/>
        <v>0</v>
      </c>
      <c r="AA44" s="71"/>
      <c r="AB44" s="68">
        <f>+H44*tab!F$42</f>
        <v>0</v>
      </c>
      <c r="AC44" s="68">
        <f>+I44*tab!G$42</f>
        <v>0</v>
      </c>
      <c r="AD44" s="68">
        <f>+J44*tab!H$42</f>
        <v>0</v>
      </c>
      <c r="AE44" s="68">
        <f>+K44*tab!I$42</f>
        <v>0</v>
      </c>
      <c r="AF44" s="68">
        <f>+L44*tab!J$42</f>
        <v>0</v>
      </c>
      <c r="AG44" s="71"/>
      <c r="AH44" s="599">
        <v>0</v>
      </c>
      <c r="AI44" s="120">
        <f t="shared" si="17"/>
        <v>0</v>
      </c>
      <c r="AJ44" s="120">
        <f t="shared" si="18"/>
        <v>0</v>
      </c>
      <c r="AK44" s="120">
        <f t="shared" si="19"/>
        <v>0</v>
      </c>
      <c r="AL44" s="120">
        <f t="shared" si="20"/>
        <v>0</v>
      </c>
      <c r="AM44" s="134"/>
    </row>
    <row r="45" spans="2:39" s="113" customFormat="1" x14ac:dyDescent="0.2">
      <c r="B45" s="133"/>
      <c r="C45" s="150"/>
      <c r="D45" s="50">
        <v>31</v>
      </c>
      <c r="E45" s="1100" t="str">
        <f>+'Li O school'!E45</f>
        <v>school 31</v>
      </c>
      <c r="F45" s="1100" t="str">
        <f>+'Li O school'!F45</f>
        <v>11AA</v>
      </c>
      <c r="G45" s="925">
        <v>0</v>
      </c>
      <c r="H45" s="925">
        <v>0</v>
      </c>
      <c r="I45" s="119">
        <f t="shared" si="30"/>
        <v>0</v>
      </c>
      <c r="J45" s="119">
        <f t="shared" si="30"/>
        <v>0</v>
      </c>
      <c r="K45" s="119">
        <f t="shared" si="28"/>
        <v>0</v>
      </c>
      <c r="L45" s="119">
        <f t="shared" si="29"/>
        <v>0</v>
      </c>
      <c r="M45" s="71"/>
      <c r="N45" s="68">
        <f>ROUND(G45*tab!E$39,2)</f>
        <v>0</v>
      </c>
      <c r="O45" s="68">
        <f>ROUND(H45*tab!F$39,2)</f>
        <v>0</v>
      </c>
      <c r="P45" s="68">
        <f>ROUND(I45*tab!G$39,2)</f>
        <v>0</v>
      </c>
      <c r="Q45" s="68">
        <f>ROUND(J45*tab!H$39,2)</f>
        <v>0</v>
      </c>
      <c r="R45" s="68">
        <f>ROUND(K45*tab!I$39,2)</f>
        <v>0</v>
      </c>
      <c r="S45" s="68">
        <f>ROUND(L45*tab!J$39,2)</f>
        <v>0</v>
      </c>
      <c r="T45" s="71"/>
      <c r="U45" s="153">
        <v>0</v>
      </c>
      <c r="V45" s="120">
        <f t="shared" si="25"/>
        <v>0</v>
      </c>
      <c r="W45" s="120">
        <f t="shared" si="25"/>
        <v>0</v>
      </c>
      <c r="X45" s="120">
        <f t="shared" si="25"/>
        <v>0</v>
      </c>
      <c r="Y45" s="120">
        <f t="shared" si="7"/>
        <v>0</v>
      </c>
      <c r="Z45" s="120">
        <f t="shared" si="8"/>
        <v>0</v>
      </c>
      <c r="AA45" s="71"/>
      <c r="AB45" s="68">
        <f>+H45*tab!F$42</f>
        <v>0</v>
      </c>
      <c r="AC45" s="68">
        <f>+I45*tab!G$42</f>
        <v>0</v>
      </c>
      <c r="AD45" s="68">
        <f>+J45*tab!H$42</f>
        <v>0</v>
      </c>
      <c r="AE45" s="68">
        <f>+K45*tab!I$42</f>
        <v>0</v>
      </c>
      <c r="AF45" s="68">
        <f>+L45*tab!J$42</f>
        <v>0</v>
      </c>
      <c r="AG45" s="71"/>
      <c r="AH45" s="599">
        <v>0</v>
      </c>
      <c r="AI45" s="120">
        <f t="shared" si="17"/>
        <v>0</v>
      </c>
      <c r="AJ45" s="120">
        <f t="shared" si="18"/>
        <v>0</v>
      </c>
      <c r="AK45" s="120">
        <f t="shared" si="19"/>
        <v>0</v>
      </c>
      <c r="AL45" s="120">
        <f t="shared" si="20"/>
        <v>0</v>
      </c>
      <c r="AM45" s="134"/>
    </row>
    <row r="46" spans="2:39" s="113" customFormat="1" x14ac:dyDescent="0.2">
      <c r="B46" s="133"/>
      <c r="C46" s="150"/>
      <c r="D46" s="50">
        <v>32</v>
      </c>
      <c r="E46" s="1100" t="str">
        <f>+'Li O school'!E46</f>
        <v>school 32</v>
      </c>
      <c r="F46" s="1100" t="str">
        <f>+'Li O school'!F46</f>
        <v>11AA</v>
      </c>
      <c r="G46" s="925">
        <v>0</v>
      </c>
      <c r="H46" s="925">
        <v>0</v>
      </c>
      <c r="I46" s="119">
        <f t="shared" si="30"/>
        <v>0</v>
      </c>
      <c r="J46" s="119">
        <f t="shared" si="30"/>
        <v>0</v>
      </c>
      <c r="K46" s="119">
        <f t="shared" si="28"/>
        <v>0</v>
      </c>
      <c r="L46" s="119">
        <f t="shared" si="29"/>
        <v>0</v>
      </c>
      <c r="M46" s="71"/>
      <c r="N46" s="68">
        <f>ROUND(G46*tab!E$39,2)</f>
        <v>0</v>
      </c>
      <c r="O46" s="68">
        <f>ROUND(H46*tab!F$39,2)</f>
        <v>0</v>
      </c>
      <c r="P46" s="68">
        <f>ROUND(I46*tab!G$39,2)</f>
        <v>0</v>
      </c>
      <c r="Q46" s="68">
        <f>ROUND(J46*tab!H$39,2)</f>
        <v>0</v>
      </c>
      <c r="R46" s="68">
        <f>ROUND(K46*tab!I$39,2)</f>
        <v>0</v>
      </c>
      <c r="S46" s="68">
        <f>ROUND(L46*tab!J$39,2)</f>
        <v>0</v>
      </c>
      <c r="T46" s="71"/>
      <c r="U46" s="153">
        <v>0</v>
      </c>
      <c r="V46" s="120">
        <f t="shared" si="25"/>
        <v>0</v>
      </c>
      <c r="W46" s="120">
        <f t="shared" si="25"/>
        <v>0</v>
      </c>
      <c r="X46" s="120">
        <f t="shared" si="25"/>
        <v>0</v>
      </c>
      <c r="Y46" s="120">
        <f t="shared" si="7"/>
        <v>0</v>
      </c>
      <c r="Z46" s="120">
        <f t="shared" si="8"/>
        <v>0</v>
      </c>
      <c r="AA46" s="71"/>
      <c r="AB46" s="68">
        <f>+H46*tab!F$42</f>
        <v>0</v>
      </c>
      <c r="AC46" s="68">
        <f>+I46*tab!G$42</f>
        <v>0</v>
      </c>
      <c r="AD46" s="68">
        <f>+J46*tab!H$42</f>
        <v>0</v>
      </c>
      <c r="AE46" s="68">
        <f>+K46*tab!I$42</f>
        <v>0</v>
      </c>
      <c r="AF46" s="68">
        <f>+L46*tab!J$42</f>
        <v>0</v>
      </c>
      <c r="AG46" s="71"/>
      <c r="AH46" s="599">
        <v>0</v>
      </c>
      <c r="AI46" s="120">
        <f t="shared" si="17"/>
        <v>0</v>
      </c>
      <c r="AJ46" s="120">
        <f t="shared" si="18"/>
        <v>0</v>
      </c>
      <c r="AK46" s="120">
        <f t="shared" si="19"/>
        <v>0</v>
      </c>
      <c r="AL46" s="120">
        <f t="shared" si="20"/>
        <v>0</v>
      </c>
      <c r="AM46" s="134"/>
    </row>
    <row r="47" spans="2:39" s="113" customFormat="1" x14ac:dyDescent="0.2">
      <c r="B47" s="133"/>
      <c r="C47" s="150"/>
      <c r="D47" s="50">
        <v>33</v>
      </c>
      <c r="E47" s="1100" t="str">
        <f>+'Li O school'!E47</f>
        <v>school 33</v>
      </c>
      <c r="F47" s="1100" t="str">
        <f>+'Li O school'!F47</f>
        <v>11AA</v>
      </c>
      <c r="G47" s="925">
        <v>0</v>
      </c>
      <c r="H47" s="925">
        <v>0</v>
      </c>
      <c r="I47" s="119">
        <f t="shared" si="30"/>
        <v>0</v>
      </c>
      <c r="J47" s="119">
        <f t="shared" si="30"/>
        <v>0</v>
      </c>
      <c r="K47" s="119">
        <f t="shared" si="28"/>
        <v>0</v>
      </c>
      <c r="L47" s="119">
        <f t="shared" si="29"/>
        <v>0</v>
      </c>
      <c r="M47" s="71"/>
      <c r="N47" s="68">
        <f>ROUND(G47*tab!E$39,2)</f>
        <v>0</v>
      </c>
      <c r="O47" s="68">
        <f>ROUND(H47*tab!F$39,2)</f>
        <v>0</v>
      </c>
      <c r="P47" s="68">
        <f>ROUND(I47*tab!G$39,2)</f>
        <v>0</v>
      </c>
      <c r="Q47" s="68">
        <f>ROUND(J47*tab!H$39,2)</f>
        <v>0</v>
      </c>
      <c r="R47" s="68">
        <f>ROUND(K47*tab!I$39,2)</f>
        <v>0</v>
      </c>
      <c r="S47" s="68">
        <f>ROUND(L47*tab!J$39,2)</f>
        <v>0</v>
      </c>
      <c r="T47" s="71"/>
      <c r="U47" s="153">
        <v>0</v>
      </c>
      <c r="V47" s="120">
        <f t="shared" si="25"/>
        <v>0</v>
      </c>
      <c r="W47" s="120">
        <f t="shared" si="25"/>
        <v>0</v>
      </c>
      <c r="X47" s="120">
        <f t="shared" si="25"/>
        <v>0</v>
      </c>
      <c r="Y47" s="120">
        <f t="shared" si="7"/>
        <v>0</v>
      </c>
      <c r="Z47" s="120">
        <f t="shared" si="8"/>
        <v>0</v>
      </c>
      <c r="AA47" s="71"/>
      <c r="AB47" s="68">
        <f>+H47*tab!F$42</f>
        <v>0</v>
      </c>
      <c r="AC47" s="68">
        <f>+I47*tab!G$42</f>
        <v>0</v>
      </c>
      <c r="AD47" s="68">
        <f>+J47*tab!H$42</f>
        <v>0</v>
      </c>
      <c r="AE47" s="68">
        <f>+K47*tab!I$42</f>
        <v>0</v>
      </c>
      <c r="AF47" s="68">
        <f>+L47*tab!J$42</f>
        <v>0</v>
      </c>
      <c r="AG47" s="71"/>
      <c r="AH47" s="599">
        <v>0</v>
      </c>
      <c r="AI47" s="120">
        <f t="shared" si="17"/>
        <v>0</v>
      </c>
      <c r="AJ47" s="120">
        <f t="shared" si="18"/>
        <v>0</v>
      </c>
      <c r="AK47" s="120">
        <f t="shared" si="19"/>
        <v>0</v>
      </c>
      <c r="AL47" s="120">
        <f t="shared" si="20"/>
        <v>0</v>
      </c>
      <c r="AM47" s="134"/>
    </row>
    <row r="48" spans="2:39" s="113" customFormat="1" x14ac:dyDescent="0.2">
      <c r="B48" s="133"/>
      <c r="C48" s="150"/>
      <c r="D48" s="50">
        <v>34</v>
      </c>
      <c r="E48" s="1100" t="str">
        <f>+'Li O school'!E48</f>
        <v>school 34</v>
      </c>
      <c r="F48" s="1100" t="str">
        <f>+'Li O school'!F48</f>
        <v>11AA</v>
      </c>
      <c r="G48" s="925">
        <v>0</v>
      </c>
      <c r="H48" s="925">
        <v>0</v>
      </c>
      <c r="I48" s="119">
        <f t="shared" si="30"/>
        <v>0</v>
      </c>
      <c r="J48" s="119">
        <f t="shared" si="30"/>
        <v>0</v>
      </c>
      <c r="K48" s="119">
        <f t="shared" si="28"/>
        <v>0</v>
      </c>
      <c r="L48" s="119">
        <f t="shared" si="29"/>
        <v>0</v>
      </c>
      <c r="M48" s="71"/>
      <c r="N48" s="68">
        <f>ROUND(G48*tab!E$39,2)</f>
        <v>0</v>
      </c>
      <c r="O48" s="68">
        <f>ROUND(H48*tab!F$39,2)</f>
        <v>0</v>
      </c>
      <c r="P48" s="68">
        <f>ROUND(I48*tab!G$39,2)</f>
        <v>0</v>
      </c>
      <c r="Q48" s="68">
        <f>ROUND(J48*tab!H$39,2)</f>
        <v>0</v>
      </c>
      <c r="R48" s="68">
        <f>ROUND(K48*tab!I$39,2)</f>
        <v>0</v>
      </c>
      <c r="S48" s="68">
        <f>ROUND(L48*tab!J$39,2)</f>
        <v>0</v>
      </c>
      <c r="T48" s="71"/>
      <c r="U48" s="153">
        <v>0</v>
      </c>
      <c r="V48" s="120">
        <f t="shared" si="25"/>
        <v>0</v>
      </c>
      <c r="W48" s="120">
        <f t="shared" si="25"/>
        <v>0</v>
      </c>
      <c r="X48" s="120">
        <f t="shared" si="25"/>
        <v>0</v>
      </c>
      <c r="Y48" s="120">
        <f t="shared" si="7"/>
        <v>0</v>
      </c>
      <c r="Z48" s="120">
        <f t="shared" si="8"/>
        <v>0</v>
      </c>
      <c r="AA48" s="71"/>
      <c r="AB48" s="68">
        <f>+H48*tab!F$42</f>
        <v>0</v>
      </c>
      <c r="AC48" s="68">
        <f>+I48*tab!G$42</f>
        <v>0</v>
      </c>
      <c r="AD48" s="68">
        <f>+J48*tab!H$42</f>
        <v>0</v>
      </c>
      <c r="AE48" s="68">
        <f>+K48*tab!I$42</f>
        <v>0</v>
      </c>
      <c r="AF48" s="68">
        <f>+L48*tab!J$42</f>
        <v>0</v>
      </c>
      <c r="AG48" s="71"/>
      <c r="AH48" s="599">
        <v>0</v>
      </c>
      <c r="AI48" s="120">
        <f t="shared" si="17"/>
        <v>0</v>
      </c>
      <c r="AJ48" s="120">
        <f t="shared" si="18"/>
        <v>0</v>
      </c>
      <c r="AK48" s="120">
        <f t="shared" si="19"/>
        <v>0</v>
      </c>
      <c r="AL48" s="120">
        <f t="shared" si="20"/>
        <v>0</v>
      </c>
      <c r="AM48" s="134"/>
    </row>
    <row r="49" spans="2:39" s="113" customFormat="1" x14ac:dyDescent="0.2">
      <c r="B49" s="133"/>
      <c r="C49" s="150"/>
      <c r="D49" s="50">
        <v>35</v>
      </c>
      <c r="E49" s="1100" t="str">
        <f>+'Li O school'!E49</f>
        <v>school 35</v>
      </c>
      <c r="F49" s="1100" t="str">
        <f>+'Li O school'!F49</f>
        <v>11AA</v>
      </c>
      <c r="G49" s="925">
        <v>0</v>
      </c>
      <c r="H49" s="925">
        <v>0</v>
      </c>
      <c r="I49" s="119">
        <f t="shared" si="30"/>
        <v>0</v>
      </c>
      <c r="J49" s="119">
        <f t="shared" si="30"/>
        <v>0</v>
      </c>
      <c r="K49" s="119">
        <f t="shared" si="28"/>
        <v>0</v>
      </c>
      <c r="L49" s="119">
        <f t="shared" si="29"/>
        <v>0</v>
      </c>
      <c r="M49" s="71"/>
      <c r="N49" s="68">
        <f>ROUND(G49*tab!E$39,2)</f>
        <v>0</v>
      </c>
      <c r="O49" s="68">
        <f>ROUND(H49*tab!F$39,2)</f>
        <v>0</v>
      </c>
      <c r="P49" s="68">
        <f>ROUND(I49*tab!G$39,2)</f>
        <v>0</v>
      </c>
      <c r="Q49" s="68">
        <f>ROUND(J49*tab!H$39,2)</f>
        <v>0</v>
      </c>
      <c r="R49" s="68">
        <f>ROUND(K49*tab!I$39,2)</f>
        <v>0</v>
      </c>
      <c r="S49" s="68">
        <f>ROUND(L49*tab!J$39,2)</f>
        <v>0</v>
      </c>
      <c r="T49" s="71"/>
      <c r="U49" s="153">
        <v>0</v>
      </c>
      <c r="V49" s="120">
        <f t="shared" si="25"/>
        <v>0</v>
      </c>
      <c r="W49" s="120">
        <f t="shared" si="25"/>
        <v>0</v>
      </c>
      <c r="X49" s="120">
        <f t="shared" si="25"/>
        <v>0</v>
      </c>
      <c r="Y49" s="120">
        <f t="shared" si="7"/>
        <v>0</v>
      </c>
      <c r="Z49" s="120">
        <f t="shared" si="8"/>
        <v>0</v>
      </c>
      <c r="AA49" s="71"/>
      <c r="AB49" s="68">
        <f>+H49*tab!F$42</f>
        <v>0</v>
      </c>
      <c r="AC49" s="68">
        <f>+I49*tab!G$42</f>
        <v>0</v>
      </c>
      <c r="AD49" s="68">
        <f>+J49*tab!H$42</f>
        <v>0</v>
      </c>
      <c r="AE49" s="68">
        <f>+K49*tab!I$42</f>
        <v>0</v>
      </c>
      <c r="AF49" s="68">
        <f>+L49*tab!J$42</f>
        <v>0</v>
      </c>
      <c r="AG49" s="71"/>
      <c r="AH49" s="599">
        <v>0</v>
      </c>
      <c r="AI49" s="120">
        <f t="shared" si="17"/>
        <v>0</v>
      </c>
      <c r="AJ49" s="120">
        <f t="shared" si="18"/>
        <v>0</v>
      </c>
      <c r="AK49" s="120">
        <f t="shared" si="19"/>
        <v>0</v>
      </c>
      <c r="AL49" s="120">
        <f t="shared" si="20"/>
        <v>0</v>
      </c>
      <c r="AM49" s="134"/>
    </row>
    <row r="50" spans="2:39" s="113" customFormat="1" x14ac:dyDescent="0.2">
      <c r="B50" s="133"/>
      <c r="C50" s="150"/>
      <c r="D50" s="50">
        <v>36</v>
      </c>
      <c r="E50" s="1100" t="str">
        <f>+'Li O school'!E50</f>
        <v>school 36</v>
      </c>
      <c r="F50" s="1100" t="str">
        <f>+'Li O school'!F50</f>
        <v>11AA</v>
      </c>
      <c r="G50" s="925">
        <v>0</v>
      </c>
      <c r="H50" s="925">
        <v>0</v>
      </c>
      <c r="I50" s="119">
        <f t="shared" si="30"/>
        <v>0</v>
      </c>
      <c r="J50" s="119">
        <f t="shared" si="30"/>
        <v>0</v>
      </c>
      <c r="K50" s="119">
        <f t="shared" si="28"/>
        <v>0</v>
      </c>
      <c r="L50" s="119">
        <f t="shared" si="29"/>
        <v>0</v>
      </c>
      <c r="M50" s="71"/>
      <c r="N50" s="68">
        <f>ROUND(G50*tab!E$39,2)</f>
        <v>0</v>
      </c>
      <c r="O50" s="68">
        <f>ROUND(H50*tab!F$39,2)</f>
        <v>0</v>
      </c>
      <c r="P50" s="68">
        <f>ROUND(I50*tab!G$39,2)</f>
        <v>0</v>
      </c>
      <c r="Q50" s="68">
        <f>ROUND(J50*tab!H$39,2)</f>
        <v>0</v>
      </c>
      <c r="R50" s="68">
        <f>ROUND(K50*tab!I$39,2)</f>
        <v>0</v>
      </c>
      <c r="S50" s="68">
        <f>ROUND(L50*tab!J$39,2)</f>
        <v>0</v>
      </c>
      <c r="T50" s="71"/>
      <c r="U50" s="153">
        <v>0</v>
      </c>
      <c r="V50" s="120">
        <f t="shared" si="25"/>
        <v>0</v>
      </c>
      <c r="W50" s="120">
        <f t="shared" si="25"/>
        <v>0</v>
      </c>
      <c r="X50" s="120">
        <f t="shared" si="25"/>
        <v>0</v>
      </c>
      <c r="Y50" s="120">
        <f t="shared" si="7"/>
        <v>0</v>
      </c>
      <c r="Z50" s="120">
        <f t="shared" si="8"/>
        <v>0</v>
      </c>
      <c r="AA50" s="71"/>
      <c r="AB50" s="68">
        <f>+H50*tab!F$42</f>
        <v>0</v>
      </c>
      <c r="AC50" s="68">
        <f>+I50*tab!G$42</f>
        <v>0</v>
      </c>
      <c r="AD50" s="68">
        <f>+J50*tab!H$42</f>
        <v>0</v>
      </c>
      <c r="AE50" s="68">
        <f>+K50*tab!I$42</f>
        <v>0</v>
      </c>
      <c r="AF50" s="68">
        <f>+L50*tab!J$42</f>
        <v>0</v>
      </c>
      <c r="AG50" s="71"/>
      <c r="AH50" s="599">
        <v>0</v>
      </c>
      <c r="AI50" s="120">
        <f t="shared" si="17"/>
        <v>0</v>
      </c>
      <c r="AJ50" s="120">
        <f t="shared" si="18"/>
        <v>0</v>
      </c>
      <c r="AK50" s="120">
        <f t="shared" si="19"/>
        <v>0</v>
      </c>
      <c r="AL50" s="120">
        <f t="shared" si="20"/>
        <v>0</v>
      </c>
      <c r="AM50" s="134"/>
    </row>
    <row r="51" spans="2:39" s="113" customFormat="1" x14ac:dyDescent="0.2">
      <c r="B51" s="133"/>
      <c r="C51" s="150"/>
      <c r="D51" s="50">
        <v>37</v>
      </c>
      <c r="E51" s="1100" t="str">
        <f>+'Li O school'!E51</f>
        <v>school 37</v>
      </c>
      <c r="F51" s="1100" t="str">
        <f>+'Li O school'!F51</f>
        <v>11AA</v>
      </c>
      <c r="G51" s="925">
        <v>0</v>
      </c>
      <c r="H51" s="925">
        <v>0</v>
      </c>
      <c r="I51" s="119">
        <f t="shared" si="30"/>
        <v>0</v>
      </c>
      <c r="J51" s="119">
        <f t="shared" si="30"/>
        <v>0</v>
      </c>
      <c r="K51" s="119">
        <f t="shared" si="28"/>
        <v>0</v>
      </c>
      <c r="L51" s="119">
        <f t="shared" si="29"/>
        <v>0</v>
      </c>
      <c r="M51" s="71"/>
      <c r="N51" s="68">
        <f>ROUND(G51*tab!E$39,2)</f>
        <v>0</v>
      </c>
      <c r="O51" s="68">
        <f>ROUND(H51*tab!F$39,2)</f>
        <v>0</v>
      </c>
      <c r="P51" s="68">
        <f>ROUND(I51*tab!G$39,2)</f>
        <v>0</v>
      </c>
      <c r="Q51" s="68">
        <f>ROUND(J51*tab!H$39,2)</f>
        <v>0</v>
      </c>
      <c r="R51" s="68">
        <f>ROUND(K51*tab!I$39,2)</f>
        <v>0</v>
      </c>
      <c r="S51" s="68">
        <f>ROUND(L51*tab!J$39,2)</f>
        <v>0</v>
      </c>
      <c r="T51" s="71"/>
      <c r="U51" s="153">
        <v>0</v>
      </c>
      <c r="V51" s="120">
        <f t="shared" si="25"/>
        <v>0</v>
      </c>
      <c r="W51" s="120">
        <f t="shared" si="25"/>
        <v>0</v>
      </c>
      <c r="X51" s="120">
        <f t="shared" si="25"/>
        <v>0</v>
      </c>
      <c r="Y51" s="120">
        <f t="shared" si="7"/>
        <v>0</v>
      </c>
      <c r="Z51" s="120">
        <f t="shared" si="8"/>
        <v>0</v>
      </c>
      <c r="AA51" s="71"/>
      <c r="AB51" s="68">
        <f>+H51*tab!F$42</f>
        <v>0</v>
      </c>
      <c r="AC51" s="68">
        <f>+I51*tab!G$42</f>
        <v>0</v>
      </c>
      <c r="AD51" s="68">
        <f>+J51*tab!H$42</f>
        <v>0</v>
      </c>
      <c r="AE51" s="68">
        <f>+K51*tab!I$42</f>
        <v>0</v>
      </c>
      <c r="AF51" s="68">
        <f>+L51*tab!J$42</f>
        <v>0</v>
      </c>
      <c r="AG51" s="71"/>
      <c r="AH51" s="599">
        <v>0</v>
      </c>
      <c r="AI51" s="120">
        <f t="shared" si="17"/>
        <v>0</v>
      </c>
      <c r="AJ51" s="120">
        <f t="shared" si="18"/>
        <v>0</v>
      </c>
      <c r="AK51" s="120">
        <f t="shared" si="19"/>
        <v>0</v>
      </c>
      <c r="AL51" s="120">
        <f t="shared" si="20"/>
        <v>0</v>
      </c>
      <c r="AM51" s="134"/>
    </row>
    <row r="52" spans="2:39" s="113" customFormat="1" x14ac:dyDescent="0.2">
      <c r="B52" s="133"/>
      <c r="C52" s="150"/>
      <c r="D52" s="50">
        <v>38</v>
      </c>
      <c r="E52" s="1100" t="str">
        <f>+'Li O school'!E52</f>
        <v>school 38</v>
      </c>
      <c r="F52" s="1100" t="str">
        <f>+'Li O school'!F52</f>
        <v>11AA</v>
      </c>
      <c r="G52" s="925">
        <v>0</v>
      </c>
      <c r="H52" s="925">
        <v>0</v>
      </c>
      <c r="I52" s="119">
        <f t="shared" si="30"/>
        <v>0</v>
      </c>
      <c r="J52" s="119">
        <f t="shared" si="30"/>
        <v>0</v>
      </c>
      <c r="K52" s="119">
        <f t="shared" si="28"/>
        <v>0</v>
      </c>
      <c r="L52" s="119">
        <f t="shared" si="29"/>
        <v>0</v>
      </c>
      <c r="M52" s="71"/>
      <c r="N52" s="68">
        <f>ROUND(G52*tab!E$39,2)</f>
        <v>0</v>
      </c>
      <c r="O52" s="68">
        <f>ROUND(H52*tab!F$39,2)</f>
        <v>0</v>
      </c>
      <c r="P52" s="68">
        <f>ROUND(I52*tab!G$39,2)</f>
        <v>0</v>
      </c>
      <c r="Q52" s="68">
        <f>ROUND(J52*tab!H$39,2)</f>
        <v>0</v>
      </c>
      <c r="R52" s="68">
        <f>ROUND(K52*tab!I$39,2)</f>
        <v>0</v>
      </c>
      <c r="S52" s="68">
        <f>ROUND(L52*tab!J$39,2)</f>
        <v>0</v>
      </c>
      <c r="T52" s="71"/>
      <c r="U52" s="153">
        <v>0</v>
      </c>
      <c r="V52" s="120">
        <f t="shared" si="25"/>
        <v>0</v>
      </c>
      <c r="W52" s="120">
        <f t="shared" si="25"/>
        <v>0</v>
      </c>
      <c r="X52" s="120">
        <f t="shared" si="25"/>
        <v>0</v>
      </c>
      <c r="Y52" s="120">
        <f t="shared" si="7"/>
        <v>0</v>
      </c>
      <c r="Z52" s="120">
        <f t="shared" si="8"/>
        <v>0</v>
      </c>
      <c r="AA52" s="71"/>
      <c r="AB52" s="68">
        <f>+H52*tab!F$42</f>
        <v>0</v>
      </c>
      <c r="AC52" s="68">
        <f>+I52*tab!G$42</f>
        <v>0</v>
      </c>
      <c r="AD52" s="68">
        <f>+J52*tab!H$42</f>
        <v>0</v>
      </c>
      <c r="AE52" s="68">
        <f>+K52*tab!I$42</f>
        <v>0</v>
      </c>
      <c r="AF52" s="68">
        <f>+L52*tab!J$42</f>
        <v>0</v>
      </c>
      <c r="AG52" s="71"/>
      <c r="AH52" s="599">
        <v>0</v>
      </c>
      <c r="AI52" s="120">
        <f t="shared" si="17"/>
        <v>0</v>
      </c>
      <c r="AJ52" s="120">
        <f t="shared" si="18"/>
        <v>0</v>
      </c>
      <c r="AK52" s="120">
        <f t="shared" si="19"/>
        <v>0</v>
      </c>
      <c r="AL52" s="120">
        <f t="shared" si="20"/>
        <v>0</v>
      </c>
      <c r="AM52" s="134"/>
    </row>
    <row r="53" spans="2:39" s="113" customFormat="1" x14ac:dyDescent="0.2">
      <c r="B53" s="133"/>
      <c r="C53" s="150"/>
      <c r="D53" s="50">
        <v>39</v>
      </c>
      <c r="E53" s="1100" t="str">
        <f>+'Li O school'!E53</f>
        <v>school 39</v>
      </c>
      <c r="F53" s="1100" t="str">
        <f>+'Li O school'!F53</f>
        <v>11AA</v>
      </c>
      <c r="G53" s="925">
        <v>0</v>
      </c>
      <c r="H53" s="925">
        <v>0</v>
      </c>
      <c r="I53" s="119">
        <f t="shared" si="30"/>
        <v>0</v>
      </c>
      <c r="J53" s="119">
        <f t="shared" si="30"/>
        <v>0</v>
      </c>
      <c r="K53" s="119">
        <f t="shared" si="28"/>
        <v>0</v>
      </c>
      <c r="L53" s="119">
        <f t="shared" si="29"/>
        <v>0</v>
      </c>
      <c r="M53" s="71"/>
      <c r="N53" s="68">
        <f>ROUND(G53*tab!E$39,2)</f>
        <v>0</v>
      </c>
      <c r="O53" s="68">
        <f>ROUND(H53*tab!F$39,2)</f>
        <v>0</v>
      </c>
      <c r="P53" s="68">
        <f>ROUND(I53*tab!G$39,2)</f>
        <v>0</v>
      </c>
      <c r="Q53" s="68">
        <f>ROUND(J53*tab!H$39,2)</f>
        <v>0</v>
      </c>
      <c r="R53" s="68">
        <f>ROUND(K53*tab!I$39,2)</f>
        <v>0</v>
      </c>
      <c r="S53" s="68">
        <f>ROUND(L53*tab!J$39,2)</f>
        <v>0</v>
      </c>
      <c r="T53" s="71"/>
      <c r="U53" s="153">
        <v>0</v>
      </c>
      <c r="V53" s="120">
        <f t="shared" si="25"/>
        <v>0</v>
      </c>
      <c r="W53" s="120">
        <f t="shared" si="25"/>
        <v>0</v>
      </c>
      <c r="X53" s="120">
        <f t="shared" si="25"/>
        <v>0</v>
      </c>
      <c r="Y53" s="120">
        <f t="shared" si="7"/>
        <v>0</v>
      </c>
      <c r="Z53" s="120">
        <f t="shared" si="8"/>
        <v>0</v>
      </c>
      <c r="AA53" s="71"/>
      <c r="AB53" s="68">
        <f>+H53*tab!F$42</f>
        <v>0</v>
      </c>
      <c r="AC53" s="68">
        <f>+I53*tab!G$42</f>
        <v>0</v>
      </c>
      <c r="AD53" s="68">
        <f>+J53*tab!H$42</f>
        <v>0</v>
      </c>
      <c r="AE53" s="68">
        <f>+K53*tab!I$42</f>
        <v>0</v>
      </c>
      <c r="AF53" s="68">
        <f>+L53*tab!J$42</f>
        <v>0</v>
      </c>
      <c r="AG53" s="71"/>
      <c r="AH53" s="599">
        <v>0</v>
      </c>
      <c r="AI53" s="120">
        <f t="shared" si="17"/>
        <v>0</v>
      </c>
      <c r="AJ53" s="120">
        <f t="shared" si="18"/>
        <v>0</v>
      </c>
      <c r="AK53" s="120">
        <f t="shared" si="19"/>
        <v>0</v>
      </c>
      <c r="AL53" s="120">
        <f t="shared" si="20"/>
        <v>0</v>
      </c>
      <c r="AM53" s="134"/>
    </row>
    <row r="54" spans="2:39" s="113" customFormat="1" x14ac:dyDescent="0.2">
      <c r="B54" s="133"/>
      <c r="C54" s="150"/>
      <c r="D54" s="50">
        <v>40</v>
      </c>
      <c r="E54" s="1100" t="str">
        <f>+'Li O school'!E54</f>
        <v>school 40</v>
      </c>
      <c r="F54" s="1100" t="str">
        <f>+'Li O school'!F54</f>
        <v>11AA</v>
      </c>
      <c r="G54" s="925">
        <v>0</v>
      </c>
      <c r="H54" s="925">
        <v>0</v>
      </c>
      <c r="I54" s="119">
        <f t="shared" si="30"/>
        <v>0</v>
      </c>
      <c r="J54" s="119">
        <f t="shared" si="30"/>
        <v>0</v>
      </c>
      <c r="K54" s="119">
        <f t="shared" si="28"/>
        <v>0</v>
      </c>
      <c r="L54" s="119">
        <f t="shared" si="29"/>
        <v>0</v>
      </c>
      <c r="M54" s="71"/>
      <c r="N54" s="68">
        <f>ROUND(G54*tab!E$39,2)</f>
        <v>0</v>
      </c>
      <c r="O54" s="68">
        <f>ROUND(H54*tab!F$39,2)</f>
        <v>0</v>
      </c>
      <c r="P54" s="68">
        <f>ROUND(I54*tab!G$39,2)</f>
        <v>0</v>
      </c>
      <c r="Q54" s="68">
        <f>ROUND(J54*tab!H$39,2)</f>
        <v>0</v>
      </c>
      <c r="R54" s="68">
        <f>ROUND(K54*tab!I$39,2)</f>
        <v>0</v>
      </c>
      <c r="S54" s="68">
        <f>ROUND(L54*tab!J$39,2)</f>
        <v>0</v>
      </c>
      <c r="T54" s="71"/>
      <c r="U54" s="153">
        <v>0</v>
      </c>
      <c r="V54" s="120">
        <f t="shared" si="25"/>
        <v>0</v>
      </c>
      <c r="W54" s="120">
        <f t="shared" si="25"/>
        <v>0</v>
      </c>
      <c r="X54" s="120">
        <f t="shared" si="25"/>
        <v>0</v>
      </c>
      <c r="Y54" s="120">
        <f t="shared" si="7"/>
        <v>0</v>
      </c>
      <c r="Z54" s="120">
        <f t="shared" si="8"/>
        <v>0</v>
      </c>
      <c r="AA54" s="71"/>
      <c r="AB54" s="68">
        <f>+H54*tab!F$42</f>
        <v>0</v>
      </c>
      <c r="AC54" s="68">
        <f>+I54*tab!G$42</f>
        <v>0</v>
      </c>
      <c r="AD54" s="68">
        <f>+J54*tab!H$42</f>
        <v>0</v>
      </c>
      <c r="AE54" s="68">
        <f>+K54*tab!I$42</f>
        <v>0</v>
      </c>
      <c r="AF54" s="68">
        <f>+L54*tab!J$42</f>
        <v>0</v>
      </c>
      <c r="AG54" s="71"/>
      <c r="AH54" s="599">
        <v>0</v>
      </c>
      <c r="AI54" s="120">
        <f t="shared" si="17"/>
        <v>0</v>
      </c>
      <c r="AJ54" s="120">
        <f t="shared" si="18"/>
        <v>0</v>
      </c>
      <c r="AK54" s="120">
        <f t="shared" si="19"/>
        <v>0</v>
      </c>
      <c r="AL54" s="120">
        <f t="shared" si="20"/>
        <v>0</v>
      </c>
      <c r="AM54" s="134"/>
    </row>
    <row r="55" spans="2:39" s="113" customFormat="1" x14ac:dyDescent="0.2">
      <c r="B55" s="133"/>
      <c r="C55" s="150"/>
      <c r="D55" s="50">
        <v>41</v>
      </c>
      <c r="E55" s="1100" t="str">
        <f>+'Li O school'!E55</f>
        <v>school 41</v>
      </c>
      <c r="F55" s="1100" t="str">
        <f>+'Li O school'!F55</f>
        <v>11AA</v>
      </c>
      <c r="G55" s="925">
        <v>0</v>
      </c>
      <c r="H55" s="925">
        <v>0</v>
      </c>
      <c r="I55" s="119">
        <f t="shared" ref="I55:J74" si="31">H55</f>
        <v>0</v>
      </c>
      <c r="J55" s="119">
        <f t="shared" si="31"/>
        <v>0</v>
      </c>
      <c r="K55" s="119">
        <f t="shared" si="28"/>
        <v>0</v>
      </c>
      <c r="L55" s="119">
        <f t="shared" si="29"/>
        <v>0</v>
      </c>
      <c r="M55" s="71"/>
      <c r="N55" s="68">
        <f>ROUND(G55*tab!E$39,2)</f>
        <v>0</v>
      </c>
      <c r="O55" s="68">
        <f>ROUND(H55*tab!F$39,2)</f>
        <v>0</v>
      </c>
      <c r="P55" s="68">
        <f>ROUND(I55*tab!G$39,2)</f>
        <v>0</v>
      </c>
      <c r="Q55" s="68">
        <f>ROUND(J55*tab!H$39,2)</f>
        <v>0</v>
      </c>
      <c r="R55" s="68">
        <f>ROUND(K55*tab!I$39,2)</f>
        <v>0</v>
      </c>
      <c r="S55" s="68">
        <f>ROUND(L55*tab!J$39,2)</f>
        <v>0</v>
      </c>
      <c r="T55" s="71"/>
      <c r="U55" s="153">
        <v>0</v>
      </c>
      <c r="V55" s="120">
        <f t="shared" ref="V55:X74" si="32">U55</f>
        <v>0</v>
      </c>
      <c r="W55" s="120">
        <f t="shared" si="32"/>
        <v>0</v>
      </c>
      <c r="X55" s="120">
        <f t="shared" si="32"/>
        <v>0</v>
      </c>
      <c r="Y55" s="120">
        <f t="shared" si="7"/>
        <v>0</v>
      </c>
      <c r="Z55" s="120">
        <f t="shared" si="8"/>
        <v>0</v>
      </c>
      <c r="AA55" s="71"/>
      <c r="AB55" s="68">
        <f>+H55*tab!F$42</f>
        <v>0</v>
      </c>
      <c r="AC55" s="68">
        <f>+I55*tab!G$42</f>
        <v>0</v>
      </c>
      <c r="AD55" s="68">
        <f>+J55*tab!H$42</f>
        <v>0</v>
      </c>
      <c r="AE55" s="68">
        <f>+K55*tab!I$42</f>
        <v>0</v>
      </c>
      <c r="AF55" s="68">
        <f>+L55*tab!J$42</f>
        <v>0</v>
      </c>
      <c r="AG55" s="71"/>
      <c r="AH55" s="599">
        <v>0</v>
      </c>
      <c r="AI55" s="120">
        <f t="shared" si="17"/>
        <v>0</v>
      </c>
      <c r="AJ55" s="120">
        <f t="shared" si="18"/>
        <v>0</v>
      </c>
      <c r="AK55" s="120">
        <f t="shared" si="19"/>
        <v>0</v>
      </c>
      <c r="AL55" s="120">
        <f t="shared" si="20"/>
        <v>0</v>
      </c>
      <c r="AM55" s="134"/>
    </row>
    <row r="56" spans="2:39" s="113" customFormat="1" x14ac:dyDescent="0.2">
      <c r="B56" s="133"/>
      <c r="C56" s="150"/>
      <c r="D56" s="50">
        <v>42</v>
      </c>
      <c r="E56" s="1100" t="str">
        <f>+'Li O school'!E56</f>
        <v>school 42</v>
      </c>
      <c r="F56" s="1100" t="str">
        <f>+'Li O school'!F56</f>
        <v>11AA</v>
      </c>
      <c r="G56" s="925">
        <v>0</v>
      </c>
      <c r="H56" s="925">
        <v>0</v>
      </c>
      <c r="I56" s="119">
        <f t="shared" si="31"/>
        <v>0</v>
      </c>
      <c r="J56" s="119">
        <f t="shared" si="31"/>
        <v>0</v>
      </c>
      <c r="K56" s="119">
        <f t="shared" si="28"/>
        <v>0</v>
      </c>
      <c r="L56" s="119">
        <f t="shared" si="29"/>
        <v>0</v>
      </c>
      <c r="M56" s="71"/>
      <c r="N56" s="68">
        <f>ROUND(G56*tab!E$39,2)</f>
        <v>0</v>
      </c>
      <c r="O56" s="68">
        <f>ROUND(H56*tab!F$39,2)</f>
        <v>0</v>
      </c>
      <c r="P56" s="68">
        <f>ROUND(I56*tab!G$39,2)</f>
        <v>0</v>
      </c>
      <c r="Q56" s="68">
        <f>ROUND(J56*tab!H$39,2)</f>
        <v>0</v>
      </c>
      <c r="R56" s="68">
        <f>ROUND(K56*tab!I$39,2)</f>
        <v>0</v>
      </c>
      <c r="S56" s="68">
        <f>ROUND(L56*tab!J$39,2)</f>
        <v>0</v>
      </c>
      <c r="T56" s="71"/>
      <c r="U56" s="153">
        <v>0</v>
      </c>
      <c r="V56" s="120">
        <f t="shared" si="32"/>
        <v>0</v>
      </c>
      <c r="W56" s="120">
        <f t="shared" si="32"/>
        <v>0</v>
      </c>
      <c r="X56" s="120">
        <f t="shared" si="32"/>
        <v>0</v>
      </c>
      <c r="Y56" s="120">
        <f t="shared" si="7"/>
        <v>0</v>
      </c>
      <c r="Z56" s="120">
        <f t="shared" si="8"/>
        <v>0</v>
      </c>
      <c r="AA56" s="71"/>
      <c r="AB56" s="68">
        <f>+H56*tab!F$42</f>
        <v>0</v>
      </c>
      <c r="AC56" s="68">
        <f>+I56*tab!G$42</f>
        <v>0</v>
      </c>
      <c r="AD56" s="68">
        <f>+J56*tab!H$42</f>
        <v>0</v>
      </c>
      <c r="AE56" s="68">
        <f>+K56*tab!I$42</f>
        <v>0</v>
      </c>
      <c r="AF56" s="68">
        <f>+L56*tab!J$42</f>
        <v>0</v>
      </c>
      <c r="AG56" s="71"/>
      <c r="AH56" s="599">
        <v>0</v>
      </c>
      <c r="AI56" s="120">
        <f t="shared" si="17"/>
        <v>0</v>
      </c>
      <c r="AJ56" s="120">
        <f t="shared" si="18"/>
        <v>0</v>
      </c>
      <c r="AK56" s="120">
        <f t="shared" si="19"/>
        <v>0</v>
      </c>
      <c r="AL56" s="120">
        <f t="shared" si="20"/>
        <v>0</v>
      </c>
      <c r="AM56" s="134"/>
    </row>
    <row r="57" spans="2:39" s="113" customFormat="1" x14ac:dyDescent="0.2">
      <c r="B57" s="133"/>
      <c r="C57" s="150"/>
      <c r="D57" s="50">
        <v>43</v>
      </c>
      <c r="E57" s="1100" t="str">
        <f>+'Li O school'!E57</f>
        <v>school 43</v>
      </c>
      <c r="F57" s="1100" t="str">
        <f>+'Li O school'!F57</f>
        <v>11AA</v>
      </c>
      <c r="G57" s="925">
        <v>0</v>
      </c>
      <c r="H57" s="925">
        <v>0</v>
      </c>
      <c r="I57" s="119">
        <f t="shared" si="31"/>
        <v>0</v>
      </c>
      <c r="J57" s="119">
        <f t="shared" si="31"/>
        <v>0</v>
      </c>
      <c r="K57" s="119">
        <f t="shared" si="28"/>
        <v>0</v>
      </c>
      <c r="L57" s="119">
        <f t="shared" si="29"/>
        <v>0</v>
      </c>
      <c r="M57" s="71"/>
      <c r="N57" s="68">
        <f>ROUND(G57*tab!E$39,2)</f>
        <v>0</v>
      </c>
      <c r="O57" s="68">
        <f>ROUND(H57*tab!F$39,2)</f>
        <v>0</v>
      </c>
      <c r="P57" s="68">
        <f>ROUND(I57*tab!G$39,2)</f>
        <v>0</v>
      </c>
      <c r="Q57" s="68">
        <f>ROUND(J57*tab!H$39,2)</f>
        <v>0</v>
      </c>
      <c r="R57" s="68">
        <f>ROUND(K57*tab!I$39,2)</f>
        <v>0</v>
      </c>
      <c r="S57" s="68">
        <f>ROUND(L57*tab!J$39,2)</f>
        <v>0</v>
      </c>
      <c r="T57" s="71"/>
      <c r="U57" s="153">
        <v>0</v>
      </c>
      <c r="V57" s="120">
        <f t="shared" si="32"/>
        <v>0</v>
      </c>
      <c r="W57" s="120">
        <f t="shared" si="32"/>
        <v>0</v>
      </c>
      <c r="X57" s="120">
        <f t="shared" si="32"/>
        <v>0</v>
      </c>
      <c r="Y57" s="120">
        <f t="shared" si="7"/>
        <v>0</v>
      </c>
      <c r="Z57" s="120">
        <f t="shared" si="8"/>
        <v>0</v>
      </c>
      <c r="AA57" s="71"/>
      <c r="AB57" s="68">
        <f>+H57*tab!F$42</f>
        <v>0</v>
      </c>
      <c r="AC57" s="68">
        <f>+I57*tab!G$42</f>
        <v>0</v>
      </c>
      <c r="AD57" s="68">
        <f>+J57*tab!H$42</f>
        <v>0</v>
      </c>
      <c r="AE57" s="68">
        <f>+K57*tab!I$42</f>
        <v>0</v>
      </c>
      <c r="AF57" s="68">
        <f>+L57*tab!J$42</f>
        <v>0</v>
      </c>
      <c r="AG57" s="71"/>
      <c r="AH57" s="599">
        <v>0</v>
      </c>
      <c r="AI57" s="120">
        <f t="shared" si="17"/>
        <v>0</v>
      </c>
      <c r="AJ57" s="120">
        <f t="shared" si="18"/>
        <v>0</v>
      </c>
      <c r="AK57" s="120">
        <f t="shared" si="19"/>
        <v>0</v>
      </c>
      <c r="AL57" s="120">
        <f t="shared" si="20"/>
        <v>0</v>
      </c>
      <c r="AM57" s="134"/>
    </row>
    <row r="58" spans="2:39" s="113" customFormat="1" x14ac:dyDescent="0.2">
      <c r="B58" s="133"/>
      <c r="C58" s="150"/>
      <c r="D58" s="50">
        <v>44</v>
      </c>
      <c r="E58" s="1100" t="str">
        <f>+'Li O school'!E58</f>
        <v>school 44</v>
      </c>
      <c r="F58" s="1100" t="str">
        <f>+'Li O school'!F58</f>
        <v>11AA</v>
      </c>
      <c r="G58" s="925">
        <v>0</v>
      </c>
      <c r="H58" s="925">
        <v>0</v>
      </c>
      <c r="I58" s="119">
        <f t="shared" si="31"/>
        <v>0</v>
      </c>
      <c r="J58" s="119">
        <f t="shared" si="31"/>
        <v>0</v>
      </c>
      <c r="K58" s="119">
        <f t="shared" si="28"/>
        <v>0</v>
      </c>
      <c r="L58" s="119">
        <f t="shared" si="29"/>
        <v>0</v>
      </c>
      <c r="M58" s="71"/>
      <c r="N58" s="68">
        <f>ROUND(G58*tab!E$39,2)</f>
        <v>0</v>
      </c>
      <c r="O58" s="68">
        <f>ROUND(H58*tab!F$39,2)</f>
        <v>0</v>
      </c>
      <c r="P58" s="68">
        <f>ROUND(I58*tab!G$39,2)</f>
        <v>0</v>
      </c>
      <c r="Q58" s="68">
        <f>ROUND(J58*tab!H$39,2)</f>
        <v>0</v>
      </c>
      <c r="R58" s="68">
        <f>ROUND(K58*tab!I$39,2)</f>
        <v>0</v>
      </c>
      <c r="S58" s="68">
        <f>ROUND(L58*tab!J$39,2)</f>
        <v>0</v>
      </c>
      <c r="T58" s="71"/>
      <c r="U58" s="153">
        <v>0</v>
      </c>
      <c r="V58" s="120">
        <f t="shared" si="32"/>
        <v>0</v>
      </c>
      <c r="W58" s="120">
        <f t="shared" si="32"/>
        <v>0</v>
      </c>
      <c r="X58" s="120">
        <f t="shared" si="32"/>
        <v>0</v>
      </c>
      <c r="Y58" s="120">
        <f t="shared" si="7"/>
        <v>0</v>
      </c>
      <c r="Z58" s="120">
        <f t="shared" si="8"/>
        <v>0</v>
      </c>
      <c r="AA58" s="71"/>
      <c r="AB58" s="68">
        <f>+H58*tab!F$42</f>
        <v>0</v>
      </c>
      <c r="AC58" s="68">
        <f>+I58*tab!G$42</f>
        <v>0</v>
      </c>
      <c r="AD58" s="68">
        <f>+J58*tab!H$42</f>
        <v>0</v>
      </c>
      <c r="AE58" s="68">
        <f>+K58*tab!I$42</f>
        <v>0</v>
      </c>
      <c r="AF58" s="68">
        <f>+L58*tab!J$42</f>
        <v>0</v>
      </c>
      <c r="AG58" s="71"/>
      <c r="AH58" s="599">
        <v>0</v>
      </c>
      <c r="AI58" s="120">
        <f t="shared" si="17"/>
        <v>0</v>
      </c>
      <c r="AJ58" s="120">
        <f t="shared" si="18"/>
        <v>0</v>
      </c>
      <c r="AK58" s="120">
        <f t="shared" si="19"/>
        <v>0</v>
      </c>
      <c r="AL58" s="120">
        <f t="shared" si="20"/>
        <v>0</v>
      </c>
      <c r="AM58" s="134"/>
    </row>
    <row r="59" spans="2:39" s="113" customFormat="1" x14ac:dyDescent="0.2">
      <c r="B59" s="133"/>
      <c r="C59" s="150"/>
      <c r="D59" s="50">
        <v>45</v>
      </c>
      <c r="E59" s="1100" t="str">
        <f>+'Li O school'!E59</f>
        <v>school 45</v>
      </c>
      <c r="F59" s="1100" t="str">
        <f>+'Li O school'!F59</f>
        <v>11AA</v>
      </c>
      <c r="G59" s="925">
        <v>0</v>
      </c>
      <c r="H59" s="925">
        <v>0</v>
      </c>
      <c r="I59" s="119">
        <f t="shared" si="31"/>
        <v>0</v>
      </c>
      <c r="J59" s="119">
        <f t="shared" si="31"/>
        <v>0</v>
      </c>
      <c r="K59" s="119">
        <f t="shared" si="28"/>
        <v>0</v>
      </c>
      <c r="L59" s="119">
        <f t="shared" si="29"/>
        <v>0</v>
      </c>
      <c r="M59" s="71"/>
      <c r="N59" s="68">
        <f>ROUND(G59*tab!E$39,2)</f>
        <v>0</v>
      </c>
      <c r="O59" s="68">
        <f>ROUND(H59*tab!F$39,2)</f>
        <v>0</v>
      </c>
      <c r="P59" s="68">
        <f>ROUND(I59*tab!G$39,2)</f>
        <v>0</v>
      </c>
      <c r="Q59" s="68">
        <f>ROUND(J59*tab!H$39,2)</f>
        <v>0</v>
      </c>
      <c r="R59" s="68">
        <f>ROUND(K59*tab!I$39,2)</f>
        <v>0</v>
      </c>
      <c r="S59" s="68">
        <f>ROUND(L59*tab!J$39,2)</f>
        <v>0</v>
      </c>
      <c r="T59" s="71"/>
      <c r="U59" s="153">
        <v>0</v>
      </c>
      <c r="V59" s="120">
        <f t="shared" si="32"/>
        <v>0</v>
      </c>
      <c r="W59" s="120">
        <f t="shared" si="32"/>
        <v>0</v>
      </c>
      <c r="X59" s="120">
        <f t="shared" si="32"/>
        <v>0</v>
      </c>
      <c r="Y59" s="120">
        <f t="shared" si="7"/>
        <v>0</v>
      </c>
      <c r="Z59" s="120">
        <f t="shared" si="8"/>
        <v>0</v>
      </c>
      <c r="AA59" s="71"/>
      <c r="AB59" s="68">
        <f>+H59*tab!F$42</f>
        <v>0</v>
      </c>
      <c r="AC59" s="68">
        <f>+I59*tab!G$42</f>
        <v>0</v>
      </c>
      <c r="AD59" s="68">
        <f>+J59*tab!H$42</f>
        <v>0</v>
      </c>
      <c r="AE59" s="68">
        <f>+K59*tab!I$42</f>
        <v>0</v>
      </c>
      <c r="AF59" s="68">
        <f>+L59*tab!J$42</f>
        <v>0</v>
      </c>
      <c r="AG59" s="71"/>
      <c r="AH59" s="599">
        <v>0</v>
      </c>
      <c r="AI59" s="120">
        <f t="shared" si="17"/>
        <v>0</v>
      </c>
      <c r="AJ59" s="120">
        <f t="shared" si="18"/>
        <v>0</v>
      </c>
      <c r="AK59" s="120">
        <f t="shared" si="19"/>
        <v>0</v>
      </c>
      <c r="AL59" s="120">
        <f t="shared" si="20"/>
        <v>0</v>
      </c>
      <c r="AM59" s="134"/>
    </row>
    <row r="60" spans="2:39" s="113" customFormat="1" x14ac:dyDescent="0.2">
      <c r="B60" s="133"/>
      <c r="C60" s="150"/>
      <c r="D60" s="50">
        <v>46</v>
      </c>
      <c r="E60" s="1100" t="str">
        <f>+'Li O school'!E60</f>
        <v>school 46</v>
      </c>
      <c r="F60" s="1100" t="str">
        <f>+'Li O school'!F60</f>
        <v>11AA</v>
      </c>
      <c r="G60" s="925">
        <v>0</v>
      </c>
      <c r="H60" s="925">
        <v>0</v>
      </c>
      <c r="I60" s="119">
        <f t="shared" si="31"/>
        <v>0</v>
      </c>
      <c r="J60" s="119">
        <f t="shared" si="31"/>
        <v>0</v>
      </c>
      <c r="K60" s="119">
        <f t="shared" si="28"/>
        <v>0</v>
      </c>
      <c r="L60" s="119">
        <f t="shared" si="29"/>
        <v>0</v>
      </c>
      <c r="M60" s="71"/>
      <c r="N60" s="68">
        <f>ROUND(G60*tab!E$39,2)</f>
        <v>0</v>
      </c>
      <c r="O60" s="68">
        <f>ROUND(H60*tab!F$39,2)</f>
        <v>0</v>
      </c>
      <c r="P60" s="68">
        <f>ROUND(I60*tab!G$39,2)</f>
        <v>0</v>
      </c>
      <c r="Q60" s="68">
        <f>ROUND(J60*tab!H$39,2)</f>
        <v>0</v>
      </c>
      <c r="R60" s="68">
        <f>ROUND(K60*tab!I$39,2)</f>
        <v>0</v>
      </c>
      <c r="S60" s="68">
        <f>ROUND(L60*tab!J$39,2)</f>
        <v>0</v>
      </c>
      <c r="T60" s="71"/>
      <c r="U60" s="153">
        <v>0</v>
      </c>
      <c r="V60" s="120">
        <f t="shared" si="32"/>
        <v>0</v>
      </c>
      <c r="W60" s="120">
        <f t="shared" si="32"/>
        <v>0</v>
      </c>
      <c r="X60" s="120">
        <f t="shared" si="32"/>
        <v>0</v>
      </c>
      <c r="Y60" s="120">
        <f t="shared" si="7"/>
        <v>0</v>
      </c>
      <c r="Z60" s="120">
        <f t="shared" si="8"/>
        <v>0</v>
      </c>
      <c r="AA60" s="71"/>
      <c r="AB60" s="68">
        <f>+H60*tab!F$42</f>
        <v>0</v>
      </c>
      <c r="AC60" s="68">
        <f>+I60*tab!G$42</f>
        <v>0</v>
      </c>
      <c r="AD60" s="68">
        <f>+J60*tab!H$42</f>
        <v>0</v>
      </c>
      <c r="AE60" s="68">
        <f>+K60*tab!I$42</f>
        <v>0</v>
      </c>
      <c r="AF60" s="68">
        <f>+L60*tab!J$42</f>
        <v>0</v>
      </c>
      <c r="AG60" s="71"/>
      <c r="AH60" s="599">
        <v>0</v>
      </c>
      <c r="AI60" s="120">
        <f t="shared" si="17"/>
        <v>0</v>
      </c>
      <c r="AJ60" s="120">
        <f t="shared" si="18"/>
        <v>0</v>
      </c>
      <c r="AK60" s="120">
        <f t="shared" si="19"/>
        <v>0</v>
      </c>
      <c r="AL60" s="120">
        <f t="shared" si="20"/>
        <v>0</v>
      </c>
      <c r="AM60" s="134"/>
    </row>
    <row r="61" spans="2:39" s="113" customFormat="1" x14ac:dyDescent="0.2">
      <c r="B61" s="133"/>
      <c r="C61" s="150"/>
      <c r="D61" s="50">
        <v>47</v>
      </c>
      <c r="E61" s="1100" t="str">
        <f>+'Li O school'!E61</f>
        <v>school 47</v>
      </c>
      <c r="F61" s="1100" t="str">
        <f>+'Li O school'!F61</f>
        <v>11AA</v>
      </c>
      <c r="G61" s="925">
        <v>0</v>
      </c>
      <c r="H61" s="925">
        <v>0</v>
      </c>
      <c r="I61" s="119">
        <f t="shared" si="31"/>
        <v>0</v>
      </c>
      <c r="J61" s="119">
        <f t="shared" si="31"/>
        <v>0</v>
      </c>
      <c r="K61" s="119">
        <f t="shared" si="28"/>
        <v>0</v>
      </c>
      <c r="L61" s="119">
        <f t="shared" si="29"/>
        <v>0</v>
      </c>
      <c r="M61" s="71"/>
      <c r="N61" s="68">
        <f>ROUND(G61*tab!E$39,2)</f>
        <v>0</v>
      </c>
      <c r="O61" s="68">
        <f>ROUND(H61*tab!F$39,2)</f>
        <v>0</v>
      </c>
      <c r="P61" s="68">
        <f>ROUND(I61*tab!G$39,2)</f>
        <v>0</v>
      </c>
      <c r="Q61" s="68">
        <f>ROUND(J61*tab!H$39,2)</f>
        <v>0</v>
      </c>
      <c r="R61" s="68">
        <f>ROUND(K61*tab!I$39,2)</f>
        <v>0</v>
      </c>
      <c r="S61" s="68">
        <f>ROUND(L61*tab!J$39,2)</f>
        <v>0</v>
      </c>
      <c r="T61" s="71"/>
      <c r="U61" s="153">
        <v>0</v>
      </c>
      <c r="V61" s="120">
        <f t="shared" si="32"/>
        <v>0</v>
      </c>
      <c r="W61" s="120">
        <f t="shared" si="32"/>
        <v>0</v>
      </c>
      <c r="X61" s="120">
        <f t="shared" si="32"/>
        <v>0</v>
      </c>
      <c r="Y61" s="120">
        <f t="shared" si="7"/>
        <v>0</v>
      </c>
      <c r="Z61" s="120">
        <f t="shared" si="8"/>
        <v>0</v>
      </c>
      <c r="AA61" s="71"/>
      <c r="AB61" s="68">
        <f>+H61*tab!F$42</f>
        <v>0</v>
      </c>
      <c r="AC61" s="68">
        <f>+I61*tab!G$42</f>
        <v>0</v>
      </c>
      <c r="AD61" s="68">
        <f>+J61*tab!H$42</f>
        <v>0</v>
      </c>
      <c r="AE61" s="68">
        <f>+K61*tab!I$42</f>
        <v>0</v>
      </c>
      <c r="AF61" s="68">
        <f>+L61*tab!J$42</f>
        <v>0</v>
      </c>
      <c r="AG61" s="71"/>
      <c r="AH61" s="599">
        <v>0</v>
      </c>
      <c r="AI61" s="120">
        <f t="shared" si="17"/>
        <v>0</v>
      </c>
      <c r="AJ61" s="120">
        <f t="shared" si="18"/>
        <v>0</v>
      </c>
      <c r="AK61" s="120">
        <f t="shared" si="19"/>
        <v>0</v>
      </c>
      <c r="AL61" s="120">
        <f t="shared" si="20"/>
        <v>0</v>
      </c>
      <c r="AM61" s="134"/>
    </row>
    <row r="62" spans="2:39" s="113" customFormat="1" x14ac:dyDescent="0.2">
      <c r="B62" s="133"/>
      <c r="C62" s="150"/>
      <c r="D62" s="50">
        <v>48</v>
      </c>
      <c r="E62" s="1100" t="str">
        <f>+'Li O school'!E62</f>
        <v>school 48</v>
      </c>
      <c r="F62" s="1100" t="str">
        <f>+'Li O school'!F62</f>
        <v>11AA</v>
      </c>
      <c r="G62" s="925">
        <v>0</v>
      </c>
      <c r="H62" s="925">
        <v>0</v>
      </c>
      <c r="I62" s="119">
        <f t="shared" si="31"/>
        <v>0</v>
      </c>
      <c r="J62" s="119">
        <f t="shared" si="31"/>
        <v>0</v>
      </c>
      <c r="K62" s="119">
        <f t="shared" si="28"/>
        <v>0</v>
      </c>
      <c r="L62" s="119">
        <f t="shared" si="29"/>
        <v>0</v>
      </c>
      <c r="M62" s="71"/>
      <c r="N62" s="68">
        <f>ROUND(G62*tab!E$39,2)</f>
        <v>0</v>
      </c>
      <c r="O62" s="68">
        <f>ROUND(H62*tab!F$39,2)</f>
        <v>0</v>
      </c>
      <c r="P62" s="68">
        <f>ROUND(I62*tab!G$39,2)</f>
        <v>0</v>
      </c>
      <c r="Q62" s="68">
        <f>ROUND(J62*tab!H$39,2)</f>
        <v>0</v>
      </c>
      <c r="R62" s="68">
        <f>ROUND(K62*tab!I$39,2)</f>
        <v>0</v>
      </c>
      <c r="S62" s="68">
        <f>ROUND(L62*tab!J$39,2)</f>
        <v>0</v>
      </c>
      <c r="T62" s="71"/>
      <c r="U62" s="153">
        <v>0</v>
      </c>
      <c r="V62" s="120">
        <f t="shared" si="32"/>
        <v>0</v>
      </c>
      <c r="W62" s="120">
        <f t="shared" si="32"/>
        <v>0</v>
      </c>
      <c r="X62" s="120">
        <f t="shared" si="32"/>
        <v>0</v>
      </c>
      <c r="Y62" s="120">
        <f t="shared" si="7"/>
        <v>0</v>
      </c>
      <c r="Z62" s="120">
        <f t="shared" si="8"/>
        <v>0</v>
      </c>
      <c r="AA62" s="71"/>
      <c r="AB62" s="68">
        <f>+H62*tab!F$42</f>
        <v>0</v>
      </c>
      <c r="AC62" s="68">
        <f>+I62*tab!G$42</f>
        <v>0</v>
      </c>
      <c r="AD62" s="68">
        <f>+J62*tab!H$42</f>
        <v>0</v>
      </c>
      <c r="AE62" s="68">
        <f>+K62*tab!I$42</f>
        <v>0</v>
      </c>
      <c r="AF62" s="68">
        <f>+L62*tab!J$42</f>
        <v>0</v>
      </c>
      <c r="AG62" s="71"/>
      <c r="AH62" s="599">
        <v>0</v>
      </c>
      <c r="AI62" s="120">
        <f t="shared" si="17"/>
        <v>0</v>
      </c>
      <c r="AJ62" s="120">
        <f t="shared" si="18"/>
        <v>0</v>
      </c>
      <c r="AK62" s="120">
        <f t="shared" si="19"/>
        <v>0</v>
      </c>
      <c r="AL62" s="120">
        <f t="shared" si="20"/>
        <v>0</v>
      </c>
      <c r="AM62" s="134"/>
    </row>
    <row r="63" spans="2:39" s="113" customFormat="1" x14ac:dyDescent="0.2">
      <c r="B63" s="133"/>
      <c r="C63" s="150"/>
      <c r="D63" s="50">
        <v>49</v>
      </c>
      <c r="E63" s="1100" t="str">
        <f>+'Li O school'!E63</f>
        <v>school 49</v>
      </c>
      <c r="F63" s="1100" t="str">
        <f>+'Li O school'!F63</f>
        <v>11AA</v>
      </c>
      <c r="G63" s="925">
        <v>0</v>
      </c>
      <c r="H63" s="925">
        <v>0</v>
      </c>
      <c r="I63" s="119">
        <f t="shared" si="31"/>
        <v>0</v>
      </c>
      <c r="J63" s="119">
        <f t="shared" si="31"/>
        <v>0</v>
      </c>
      <c r="K63" s="119">
        <f t="shared" si="28"/>
        <v>0</v>
      </c>
      <c r="L63" s="119">
        <f t="shared" si="29"/>
        <v>0</v>
      </c>
      <c r="M63" s="71"/>
      <c r="N63" s="68">
        <f>ROUND(G63*tab!E$39,2)</f>
        <v>0</v>
      </c>
      <c r="O63" s="68">
        <f>ROUND(H63*tab!F$39,2)</f>
        <v>0</v>
      </c>
      <c r="P63" s="68">
        <f>ROUND(I63*tab!G$39,2)</f>
        <v>0</v>
      </c>
      <c r="Q63" s="68">
        <f>ROUND(J63*tab!H$39,2)</f>
        <v>0</v>
      </c>
      <c r="R63" s="68">
        <f>ROUND(K63*tab!I$39,2)</f>
        <v>0</v>
      </c>
      <c r="S63" s="68">
        <f>ROUND(L63*tab!J$39,2)</f>
        <v>0</v>
      </c>
      <c r="T63" s="71"/>
      <c r="U63" s="153">
        <v>0</v>
      </c>
      <c r="V63" s="120">
        <f t="shared" si="32"/>
        <v>0</v>
      </c>
      <c r="W63" s="120">
        <f t="shared" si="32"/>
        <v>0</v>
      </c>
      <c r="X63" s="120">
        <f t="shared" si="32"/>
        <v>0</v>
      </c>
      <c r="Y63" s="120">
        <f t="shared" si="7"/>
        <v>0</v>
      </c>
      <c r="Z63" s="120">
        <f t="shared" si="8"/>
        <v>0</v>
      </c>
      <c r="AA63" s="71"/>
      <c r="AB63" s="68">
        <f>+H63*tab!F$42</f>
        <v>0</v>
      </c>
      <c r="AC63" s="68">
        <f>+I63*tab!G$42</f>
        <v>0</v>
      </c>
      <c r="AD63" s="68">
        <f>+J63*tab!H$42</f>
        <v>0</v>
      </c>
      <c r="AE63" s="68">
        <f>+K63*tab!I$42</f>
        <v>0</v>
      </c>
      <c r="AF63" s="68">
        <f>+L63*tab!J$42</f>
        <v>0</v>
      </c>
      <c r="AG63" s="71"/>
      <c r="AH63" s="599">
        <v>0</v>
      </c>
      <c r="AI63" s="120">
        <f t="shared" si="17"/>
        <v>0</v>
      </c>
      <c r="AJ63" s="120">
        <f t="shared" si="18"/>
        <v>0</v>
      </c>
      <c r="AK63" s="120">
        <f t="shared" si="19"/>
        <v>0</v>
      </c>
      <c r="AL63" s="120">
        <f t="shared" si="20"/>
        <v>0</v>
      </c>
      <c r="AM63" s="134"/>
    </row>
    <row r="64" spans="2:39" s="113" customFormat="1" x14ac:dyDescent="0.2">
      <c r="B64" s="133"/>
      <c r="C64" s="150"/>
      <c r="D64" s="50">
        <v>50</v>
      </c>
      <c r="E64" s="1100" t="str">
        <f>+'Li O school'!E64</f>
        <v>school 50</v>
      </c>
      <c r="F64" s="1100" t="str">
        <f>+'Li O school'!F64</f>
        <v>11AA</v>
      </c>
      <c r="G64" s="925">
        <v>0</v>
      </c>
      <c r="H64" s="925">
        <v>0</v>
      </c>
      <c r="I64" s="119">
        <f t="shared" si="31"/>
        <v>0</v>
      </c>
      <c r="J64" s="119">
        <f t="shared" si="31"/>
        <v>0</v>
      </c>
      <c r="K64" s="119">
        <f t="shared" si="28"/>
        <v>0</v>
      </c>
      <c r="L64" s="119">
        <f t="shared" si="29"/>
        <v>0</v>
      </c>
      <c r="M64" s="71"/>
      <c r="N64" s="68">
        <f>ROUND(G64*tab!E$39,2)</f>
        <v>0</v>
      </c>
      <c r="O64" s="68">
        <f>ROUND(H64*tab!F$39,2)</f>
        <v>0</v>
      </c>
      <c r="P64" s="68">
        <f>ROUND(I64*tab!G$39,2)</f>
        <v>0</v>
      </c>
      <c r="Q64" s="68">
        <f>ROUND(J64*tab!H$39,2)</f>
        <v>0</v>
      </c>
      <c r="R64" s="68">
        <f>ROUND(K64*tab!I$39,2)</f>
        <v>0</v>
      </c>
      <c r="S64" s="68">
        <f>ROUND(L64*tab!J$39,2)</f>
        <v>0</v>
      </c>
      <c r="T64" s="71"/>
      <c r="U64" s="153">
        <v>0</v>
      </c>
      <c r="V64" s="120">
        <f t="shared" si="32"/>
        <v>0</v>
      </c>
      <c r="W64" s="120">
        <f t="shared" si="32"/>
        <v>0</v>
      </c>
      <c r="X64" s="120">
        <f t="shared" si="32"/>
        <v>0</v>
      </c>
      <c r="Y64" s="120">
        <f t="shared" si="7"/>
        <v>0</v>
      </c>
      <c r="Z64" s="120">
        <f t="shared" si="8"/>
        <v>0</v>
      </c>
      <c r="AA64" s="71"/>
      <c r="AB64" s="68">
        <f>+H64*tab!F$42</f>
        <v>0</v>
      </c>
      <c r="AC64" s="68">
        <f>+I64*tab!G$42</f>
        <v>0</v>
      </c>
      <c r="AD64" s="68">
        <f>+J64*tab!H$42</f>
        <v>0</v>
      </c>
      <c r="AE64" s="68">
        <f>+K64*tab!I$42</f>
        <v>0</v>
      </c>
      <c r="AF64" s="68">
        <f>+L64*tab!J$42</f>
        <v>0</v>
      </c>
      <c r="AG64" s="71"/>
      <c r="AH64" s="599">
        <v>0</v>
      </c>
      <c r="AI64" s="120">
        <f t="shared" si="17"/>
        <v>0</v>
      </c>
      <c r="AJ64" s="120">
        <f t="shared" si="18"/>
        <v>0</v>
      </c>
      <c r="AK64" s="120">
        <f t="shared" si="19"/>
        <v>0</v>
      </c>
      <c r="AL64" s="120">
        <f t="shared" si="20"/>
        <v>0</v>
      </c>
      <c r="AM64" s="134"/>
    </row>
    <row r="65" spans="2:39" s="113" customFormat="1" x14ac:dyDescent="0.2">
      <c r="B65" s="133"/>
      <c r="C65" s="150"/>
      <c r="D65" s="50">
        <v>51</v>
      </c>
      <c r="E65" s="1100" t="str">
        <f>+'Li O school'!E65</f>
        <v>school 51</v>
      </c>
      <c r="F65" s="1100" t="str">
        <f>+'Li O school'!F65</f>
        <v>11AA</v>
      </c>
      <c r="G65" s="925">
        <v>0</v>
      </c>
      <c r="H65" s="925">
        <v>0</v>
      </c>
      <c r="I65" s="119">
        <f t="shared" si="31"/>
        <v>0</v>
      </c>
      <c r="J65" s="119">
        <f t="shared" si="31"/>
        <v>0</v>
      </c>
      <c r="K65" s="119">
        <f t="shared" si="28"/>
        <v>0</v>
      </c>
      <c r="L65" s="119">
        <f t="shared" si="29"/>
        <v>0</v>
      </c>
      <c r="M65" s="71"/>
      <c r="N65" s="68">
        <f>ROUND(G65*tab!E$39,2)</f>
        <v>0</v>
      </c>
      <c r="O65" s="68">
        <f>ROUND(H65*tab!F$39,2)</f>
        <v>0</v>
      </c>
      <c r="P65" s="68">
        <f>ROUND(I65*tab!G$39,2)</f>
        <v>0</v>
      </c>
      <c r="Q65" s="68">
        <f>ROUND(J65*tab!H$39,2)</f>
        <v>0</v>
      </c>
      <c r="R65" s="68">
        <f>ROUND(K65*tab!I$39,2)</f>
        <v>0</v>
      </c>
      <c r="S65" s="68">
        <f>ROUND(L65*tab!J$39,2)</f>
        <v>0</v>
      </c>
      <c r="T65" s="71"/>
      <c r="U65" s="153">
        <v>0</v>
      </c>
      <c r="V65" s="120">
        <f t="shared" si="32"/>
        <v>0</v>
      </c>
      <c r="W65" s="120">
        <f t="shared" si="32"/>
        <v>0</v>
      </c>
      <c r="X65" s="120">
        <f t="shared" si="32"/>
        <v>0</v>
      </c>
      <c r="Y65" s="120">
        <f t="shared" si="7"/>
        <v>0</v>
      </c>
      <c r="Z65" s="120">
        <f t="shared" si="8"/>
        <v>0</v>
      </c>
      <c r="AA65" s="71"/>
      <c r="AB65" s="68">
        <f>+H65*tab!F$42</f>
        <v>0</v>
      </c>
      <c r="AC65" s="68">
        <f>+I65*tab!G$42</f>
        <v>0</v>
      </c>
      <c r="AD65" s="68">
        <f>+J65*tab!H$42</f>
        <v>0</v>
      </c>
      <c r="AE65" s="68">
        <f>+K65*tab!I$42</f>
        <v>0</v>
      </c>
      <c r="AF65" s="68">
        <f>+L65*tab!J$42</f>
        <v>0</v>
      </c>
      <c r="AG65" s="71"/>
      <c r="AH65" s="599">
        <v>0</v>
      </c>
      <c r="AI65" s="120">
        <f t="shared" si="17"/>
        <v>0</v>
      </c>
      <c r="AJ65" s="120">
        <f t="shared" si="18"/>
        <v>0</v>
      </c>
      <c r="AK65" s="120">
        <f t="shared" si="19"/>
        <v>0</v>
      </c>
      <c r="AL65" s="120">
        <f t="shared" si="20"/>
        <v>0</v>
      </c>
      <c r="AM65" s="134"/>
    </row>
    <row r="66" spans="2:39" s="113" customFormat="1" x14ac:dyDescent="0.2">
      <c r="B66" s="133"/>
      <c r="C66" s="150"/>
      <c r="D66" s="50">
        <v>52</v>
      </c>
      <c r="E66" s="1100" t="str">
        <f>+'Li O school'!E66</f>
        <v>school 52</v>
      </c>
      <c r="F66" s="1100" t="str">
        <f>+'Li O school'!F66</f>
        <v>11AA</v>
      </c>
      <c r="G66" s="925">
        <v>0</v>
      </c>
      <c r="H66" s="925">
        <v>0</v>
      </c>
      <c r="I66" s="119">
        <f t="shared" si="31"/>
        <v>0</v>
      </c>
      <c r="J66" s="119">
        <f t="shared" si="31"/>
        <v>0</v>
      </c>
      <c r="K66" s="119">
        <f t="shared" si="28"/>
        <v>0</v>
      </c>
      <c r="L66" s="119">
        <f t="shared" si="29"/>
        <v>0</v>
      </c>
      <c r="M66" s="71"/>
      <c r="N66" s="68">
        <f>ROUND(G66*tab!E$39,2)</f>
        <v>0</v>
      </c>
      <c r="O66" s="68">
        <f>ROUND(H66*tab!F$39,2)</f>
        <v>0</v>
      </c>
      <c r="P66" s="68">
        <f>ROUND(I66*tab!G$39,2)</f>
        <v>0</v>
      </c>
      <c r="Q66" s="68">
        <f>ROUND(J66*tab!H$39,2)</f>
        <v>0</v>
      </c>
      <c r="R66" s="68">
        <f>ROUND(K66*tab!I$39,2)</f>
        <v>0</v>
      </c>
      <c r="S66" s="68">
        <f>ROUND(L66*tab!J$39,2)</f>
        <v>0</v>
      </c>
      <c r="T66" s="71"/>
      <c r="U66" s="153">
        <v>0</v>
      </c>
      <c r="V66" s="120">
        <f t="shared" si="32"/>
        <v>0</v>
      </c>
      <c r="W66" s="120">
        <f t="shared" si="32"/>
        <v>0</v>
      </c>
      <c r="X66" s="120">
        <f t="shared" si="32"/>
        <v>0</v>
      </c>
      <c r="Y66" s="120">
        <f t="shared" si="7"/>
        <v>0</v>
      </c>
      <c r="Z66" s="120">
        <f t="shared" si="8"/>
        <v>0</v>
      </c>
      <c r="AA66" s="71"/>
      <c r="AB66" s="68">
        <f>+H66*tab!F$42</f>
        <v>0</v>
      </c>
      <c r="AC66" s="68">
        <f>+I66*tab!G$42</f>
        <v>0</v>
      </c>
      <c r="AD66" s="68">
        <f>+J66*tab!H$42</f>
        <v>0</v>
      </c>
      <c r="AE66" s="68">
        <f>+K66*tab!I$42</f>
        <v>0</v>
      </c>
      <c r="AF66" s="68">
        <f>+L66*tab!J$42</f>
        <v>0</v>
      </c>
      <c r="AG66" s="71"/>
      <c r="AH66" s="599">
        <v>0</v>
      </c>
      <c r="AI66" s="120">
        <f t="shared" si="17"/>
        <v>0</v>
      </c>
      <c r="AJ66" s="120">
        <f t="shared" si="18"/>
        <v>0</v>
      </c>
      <c r="AK66" s="120">
        <f t="shared" si="19"/>
        <v>0</v>
      </c>
      <c r="AL66" s="120">
        <f t="shared" si="20"/>
        <v>0</v>
      </c>
      <c r="AM66" s="134"/>
    </row>
    <row r="67" spans="2:39" s="113" customFormat="1" x14ac:dyDescent="0.2">
      <c r="B67" s="133"/>
      <c r="C67" s="150"/>
      <c r="D67" s="50">
        <v>53</v>
      </c>
      <c r="E67" s="1100" t="str">
        <f>+'Li O school'!E67</f>
        <v>school 53</v>
      </c>
      <c r="F67" s="1100" t="str">
        <f>+'Li O school'!F67</f>
        <v>11AA</v>
      </c>
      <c r="G67" s="925">
        <v>0</v>
      </c>
      <c r="H67" s="925">
        <v>0</v>
      </c>
      <c r="I67" s="119">
        <f t="shared" si="31"/>
        <v>0</v>
      </c>
      <c r="J67" s="119">
        <f t="shared" si="31"/>
        <v>0</v>
      </c>
      <c r="K67" s="119">
        <f t="shared" si="28"/>
        <v>0</v>
      </c>
      <c r="L67" s="119">
        <f t="shared" si="29"/>
        <v>0</v>
      </c>
      <c r="M67" s="71"/>
      <c r="N67" s="68">
        <f>ROUND(G67*tab!E$39,2)</f>
        <v>0</v>
      </c>
      <c r="O67" s="68">
        <f>ROUND(H67*tab!F$39,2)</f>
        <v>0</v>
      </c>
      <c r="P67" s="68">
        <f>ROUND(I67*tab!G$39,2)</f>
        <v>0</v>
      </c>
      <c r="Q67" s="68">
        <f>ROUND(J67*tab!H$39,2)</f>
        <v>0</v>
      </c>
      <c r="R67" s="68">
        <f>ROUND(K67*tab!I$39,2)</f>
        <v>0</v>
      </c>
      <c r="S67" s="68">
        <f>ROUND(L67*tab!J$39,2)</f>
        <v>0</v>
      </c>
      <c r="T67" s="71"/>
      <c r="U67" s="153">
        <v>0</v>
      </c>
      <c r="V67" s="120">
        <f t="shared" si="32"/>
        <v>0</v>
      </c>
      <c r="W67" s="120">
        <f t="shared" si="32"/>
        <v>0</v>
      </c>
      <c r="X67" s="120">
        <f t="shared" si="32"/>
        <v>0</v>
      </c>
      <c r="Y67" s="120">
        <f t="shared" si="7"/>
        <v>0</v>
      </c>
      <c r="Z67" s="120">
        <f t="shared" si="8"/>
        <v>0</v>
      </c>
      <c r="AA67" s="71"/>
      <c r="AB67" s="68">
        <f>+H67*tab!F$42</f>
        <v>0</v>
      </c>
      <c r="AC67" s="68">
        <f>+I67*tab!G$42</f>
        <v>0</v>
      </c>
      <c r="AD67" s="68">
        <f>+J67*tab!H$42</f>
        <v>0</v>
      </c>
      <c r="AE67" s="68">
        <f>+K67*tab!I$42</f>
        <v>0</v>
      </c>
      <c r="AF67" s="68">
        <f>+L67*tab!J$42</f>
        <v>0</v>
      </c>
      <c r="AG67" s="71"/>
      <c r="AH67" s="599">
        <v>0</v>
      </c>
      <c r="AI67" s="120">
        <f t="shared" si="17"/>
        <v>0</v>
      </c>
      <c r="AJ67" s="120">
        <f t="shared" si="18"/>
        <v>0</v>
      </c>
      <c r="AK67" s="120">
        <f t="shared" si="19"/>
        <v>0</v>
      </c>
      <c r="AL67" s="120">
        <f t="shared" si="20"/>
        <v>0</v>
      </c>
      <c r="AM67" s="134"/>
    </row>
    <row r="68" spans="2:39" s="113" customFormat="1" x14ac:dyDescent="0.2">
      <c r="B68" s="133"/>
      <c r="C68" s="150"/>
      <c r="D68" s="50">
        <v>54</v>
      </c>
      <c r="E68" s="1100" t="str">
        <f>+'Li O school'!E68</f>
        <v>school 54</v>
      </c>
      <c r="F68" s="1100" t="str">
        <f>+'Li O school'!F68</f>
        <v>11AA</v>
      </c>
      <c r="G68" s="925">
        <v>0</v>
      </c>
      <c r="H68" s="925">
        <v>0</v>
      </c>
      <c r="I68" s="119">
        <f t="shared" si="31"/>
        <v>0</v>
      </c>
      <c r="J68" s="119">
        <f t="shared" si="31"/>
        <v>0</v>
      </c>
      <c r="K68" s="119">
        <f t="shared" si="28"/>
        <v>0</v>
      </c>
      <c r="L68" s="119">
        <f t="shared" si="29"/>
        <v>0</v>
      </c>
      <c r="M68" s="71"/>
      <c r="N68" s="68">
        <f>ROUND(G68*tab!E$39,2)</f>
        <v>0</v>
      </c>
      <c r="O68" s="68">
        <f>ROUND(H68*tab!F$39,2)</f>
        <v>0</v>
      </c>
      <c r="P68" s="68">
        <f>ROUND(I68*tab!G$39,2)</f>
        <v>0</v>
      </c>
      <c r="Q68" s="68">
        <f>ROUND(J68*tab!H$39,2)</f>
        <v>0</v>
      </c>
      <c r="R68" s="68">
        <f>ROUND(K68*tab!I$39,2)</f>
        <v>0</v>
      </c>
      <c r="S68" s="68">
        <f>ROUND(L68*tab!J$39,2)</f>
        <v>0</v>
      </c>
      <c r="T68" s="71"/>
      <c r="U68" s="153">
        <v>0</v>
      </c>
      <c r="V68" s="120">
        <f t="shared" si="32"/>
        <v>0</v>
      </c>
      <c r="W68" s="120">
        <f t="shared" si="32"/>
        <v>0</v>
      </c>
      <c r="X68" s="120">
        <f t="shared" si="32"/>
        <v>0</v>
      </c>
      <c r="Y68" s="120">
        <f t="shared" si="7"/>
        <v>0</v>
      </c>
      <c r="Z68" s="120">
        <f t="shared" si="8"/>
        <v>0</v>
      </c>
      <c r="AA68" s="71"/>
      <c r="AB68" s="68">
        <f>+H68*tab!F$42</f>
        <v>0</v>
      </c>
      <c r="AC68" s="68">
        <f>+I68*tab!G$42</f>
        <v>0</v>
      </c>
      <c r="AD68" s="68">
        <f>+J68*tab!H$42</f>
        <v>0</v>
      </c>
      <c r="AE68" s="68">
        <f>+K68*tab!I$42</f>
        <v>0</v>
      </c>
      <c r="AF68" s="68">
        <f>+L68*tab!J$42</f>
        <v>0</v>
      </c>
      <c r="AG68" s="71"/>
      <c r="AH68" s="599">
        <v>0</v>
      </c>
      <c r="AI68" s="120">
        <f t="shared" si="17"/>
        <v>0</v>
      </c>
      <c r="AJ68" s="120">
        <f t="shared" si="18"/>
        <v>0</v>
      </c>
      <c r="AK68" s="120">
        <f t="shared" si="19"/>
        <v>0</v>
      </c>
      <c r="AL68" s="120">
        <f t="shared" si="20"/>
        <v>0</v>
      </c>
      <c r="AM68" s="134"/>
    </row>
    <row r="69" spans="2:39" s="113" customFormat="1" x14ac:dyDescent="0.2">
      <c r="B69" s="133"/>
      <c r="C69" s="150"/>
      <c r="D69" s="50">
        <v>55</v>
      </c>
      <c r="E69" s="1100" t="str">
        <f>+'Li O school'!E69</f>
        <v>school 55</v>
      </c>
      <c r="F69" s="1100" t="str">
        <f>+'Li O school'!F69</f>
        <v>11AA</v>
      </c>
      <c r="G69" s="925">
        <v>0</v>
      </c>
      <c r="H69" s="925">
        <v>0</v>
      </c>
      <c r="I69" s="119">
        <f t="shared" si="31"/>
        <v>0</v>
      </c>
      <c r="J69" s="119">
        <f t="shared" si="31"/>
        <v>0</v>
      </c>
      <c r="K69" s="119">
        <f t="shared" si="28"/>
        <v>0</v>
      </c>
      <c r="L69" s="119">
        <f t="shared" si="29"/>
        <v>0</v>
      </c>
      <c r="M69" s="71"/>
      <c r="N69" s="68">
        <f>ROUND(G69*tab!E$39,2)</f>
        <v>0</v>
      </c>
      <c r="O69" s="68">
        <f>ROUND(H69*tab!F$39,2)</f>
        <v>0</v>
      </c>
      <c r="P69" s="68">
        <f>ROUND(I69*tab!G$39,2)</f>
        <v>0</v>
      </c>
      <c r="Q69" s="68">
        <f>ROUND(J69*tab!H$39,2)</f>
        <v>0</v>
      </c>
      <c r="R69" s="68">
        <f>ROUND(K69*tab!I$39,2)</f>
        <v>0</v>
      </c>
      <c r="S69" s="68">
        <f>ROUND(L69*tab!J$39,2)</f>
        <v>0</v>
      </c>
      <c r="T69" s="71"/>
      <c r="U69" s="153">
        <v>0</v>
      </c>
      <c r="V69" s="120">
        <f t="shared" si="32"/>
        <v>0</v>
      </c>
      <c r="W69" s="120">
        <f t="shared" si="32"/>
        <v>0</v>
      </c>
      <c r="X69" s="120">
        <f t="shared" si="32"/>
        <v>0</v>
      </c>
      <c r="Y69" s="120">
        <f t="shared" si="7"/>
        <v>0</v>
      </c>
      <c r="Z69" s="120">
        <f t="shared" si="8"/>
        <v>0</v>
      </c>
      <c r="AA69" s="71"/>
      <c r="AB69" s="68">
        <f>+H69*tab!F$42</f>
        <v>0</v>
      </c>
      <c r="AC69" s="68">
        <f>+I69*tab!G$42</f>
        <v>0</v>
      </c>
      <c r="AD69" s="68">
        <f>+J69*tab!H$42</f>
        <v>0</v>
      </c>
      <c r="AE69" s="68">
        <f>+K69*tab!I$42</f>
        <v>0</v>
      </c>
      <c r="AF69" s="68">
        <f>+L69*tab!J$42</f>
        <v>0</v>
      </c>
      <c r="AG69" s="71"/>
      <c r="AH69" s="599">
        <v>0</v>
      </c>
      <c r="AI69" s="120">
        <f t="shared" si="17"/>
        <v>0</v>
      </c>
      <c r="AJ69" s="120">
        <f t="shared" si="18"/>
        <v>0</v>
      </c>
      <c r="AK69" s="120">
        <f t="shared" si="19"/>
        <v>0</v>
      </c>
      <c r="AL69" s="120">
        <f t="shared" si="20"/>
        <v>0</v>
      </c>
      <c r="AM69" s="134"/>
    </row>
    <row r="70" spans="2:39" s="113" customFormat="1" x14ac:dyDescent="0.2">
      <c r="B70" s="133"/>
      <c r="C70" s="150"/>
      <c r="D70" s="50">
        <v>56</v>
      </c>
      <c r="E70" s="1100" t="str">
        <f>+'Li O school'!E70</f>
        <v>school 56</v>
      </c>
      <c r="F70" s="1100" t="str">
        <f>+'Li O school'!F70</f>
        <v>11AA</v>
      </c>
      <c r="G70" s="925">
        <v>0</v>
      </c>
      <c r="H70" s="925">
        <v>0</v>
      </c>
      <c r="I70" s="119">
        <f t="shared" si="31"/>
        <v>0</v>
      </c>
      <c r="J70" s="119">
        <f t="shared" si="31"/>
        <v>0</v>
      </c>
      <c r="K70" s="119">
        <f t="shared" si="28"/>
        <v>0</v>
      </c>
      <c r="L70" s="119">
        <f t="shared" si="29"/>
        <v>0</v>
      </c>
      <c r="M70" s="71"/>
      <c r="N70" s="68">
        <f>ROUND(G70*tab!E$39,2)</f>
        <v>0</v>
      </c>
      <c r="O70" s="68">
        <f>ROUND(H70*tab!F$39,2)</f>
        <v>0</v>
      </c>
      <c r="P70" s="68">
        <f>ROUND(I70*tab!G$39,2)</f>
        <v>0</v>
      </c>
      <c r="Q70" s="68">
        <f>ROUND(J70*tab!H$39,2)</f>
        <v>0</v>
      </c>
      <c r="R70" s="68">
        <f>ROUND(K70*tab!I$39,2)</f>
        <v>0</v>
      </c>
      <c r="S70" s="68">
        <f>ROUND(L70*tab!J$39,2)</f>
        <v>0</v>
      </c>
      <c r="T70" s="71"/>
      <c r="U70" s="153">
        <v>0</v>
      </c>
      <c r="V70" s="120">
        <f t="shared" si="32"/>
        <v>0</v>
      </c>
      <c r="W70" s="120">
        <f t="shared" si="32"/>
        <v>0</v>
      </c>
      <c r="X70" s="120">
        <f t="shared" si="32"/>
        <v>0</v>
      </c>
      <c r="Y70" s="120">
        <f t="shared" si="7"/>
        <v>0</v>
      </c>
      <c r="Z70" s="120">
        <f t="shared" si="8"/>
        <v>0</v>
      </c>
      <c r="AA70" s="71"/>
      <c r="AB70" s="68">
        <f>+H70*tab!F$42</f>
        <v>0</v>
      </c>
      <c r="AC70" s="68">
        <f>+I70*tab!G$42</f>
        <v>0</v>
      </c>
      <c r="AD70" s="68">
        <f>+J70*tab!H$42</f>
        <v>0</v>
      </c>
      <c r="AE70" s="68">
        <f>+K70*tab!I$42</f>
        <v>0</v>
      </c>
      <c r="AF70" s="68">
        <f>+L70*tab!J$42</f>
        <v>0</v>
      </c>
      <c r="AG70" s="71"/>
      <c r="AH70" s="599">
        <v>0</v>
      </c>
      <c r="AI70" s="120">
        <f t="shared" si="17"/>
        <v>0</v>
      </c>
      <c r="AJ70" s="120">
        <f t="shared" si="18"/>
        <v>0</v>
      </c>
      <c r="AK70" s="120">
        <f t="shared" si="19"/>
        <v>0</v>
      </c>
      <c r="AL70" s="120">
        <f t="shared" si="20"/>
        <v>0</v>
      </c>
      <c r="AM70" s="134"/>
    </row>
    <row r="71" spans="2:39" s="113" customFormat="1" x14ac:dyDescent="0.2">
      <c r="B71" s="133"/>
      <c r="C71" s="150"/>
      <c r="D71" s="50">
        <v>57</v>
      </c>
      <c r="E71" s="1100" t="str">
        <f>+'Li O school'!E71</f>
        <v>school 57</v>
      </c>
      <c r="F71" s="1100" t="str">
        <f>+'Li O school'!F71</f>
        <v>11AA</v>
      </c>
      <c r="G71" s="925">
        <v>0</v>
      </c>
      <c r="H71" s="925">
        <v>0</v>
      </c>
      <c r="I71" s="119">
        <f t="shared" si="31"/>
        <v>0</v>
      </c>
      <c r="J71" s="119">
        <f t="shared" si="31"/>
        <v>0</v>
      </c>
      <c r="K71" s="119">
        <f t="shared" si="28"/>
        <v>0</v>
      </c>
      <c r="L71" s="119">
        <f t="shared" si="29"/>
        <v>0</v>
      </c>
      <c r="M71" s="71"/>
      <c r="N71" s="68">
        <f>ROUND(G71*tab!E$39,2)</f>
        <v>0</v>
      </c>
      <c r="O71" s="68">
        <f>ROUND(H71*tab!F$39,2)</f>
        <v>0</v>
      </c>
      <c r="P71" s="68">
        <f>ROUND(I71*tab!G$39,2)</f>
        <v>0</v>
      </c>
      <c r="Q71" s="68">
        <f>ROUND(J71*tab!H$39,2)</f>
        <v>0</v>
      </c>
      <c r="R71" s="68">
        <f>ROUND(K71*tab!I$39,2)</f>
        <v>0</v>
      </c>
      <c r="S71" s="68">
        <f>ROUND(L71*tab!J$39,2)</f>
        <v>0</v>
      </c>
      <c r="T71" s="71"/>
      <c r="U71" s="153">
        <v>0</v>
      </c>
      <c r="V71" s="120">
        <f t="shared" si="32"/>
        <v>0</v>
      </c>
      <c r="W71" s="120">
        <f t="shared" si="32"/>
        <v>0</v>
      </c>
      <c r="X71" s="120">
        <f t="shared" si="32"/>
        <v>0</v>
      </c>
      <c r="Y71" s="120">
        <f t="shared" si="7"/>
        <v>0</v>
      </c>
      <c r="Z71" s="120">
        <f t="shared" si="8"/>
        <v>0</v>
      </c>
      <c r="AA71" s="71"/>
      <c r="AB71" s="68">
        <f>+H71*tab!F$42</f>
        <v>0</v>
      </c>
      <c r="AC71" s="68">
        <f>+I71*tab!G$42</f>
        <v>0</v>
      </c>
      <c r="AD71" s="68">
        <f>+J71*tab!H$42</f>
        <v>0</v>
      </c>
      <c r="AE71" s="68">
        <f>+K71*tab!I$42</f>
        <v>0</v>
      </c>
      <c r="AF71" s="68">
        <f>+L71*tab!J$42</f>
        <v>0</v>
      </c>
      <c r="AG71" s="71"/>
      <c r="AH71" s="599">
        <v>0</v>
      </c>
      <c r="AI71" s="120">
        <f t="shared" si="17"/>
        <v>0</v>
      </c>
      <c r="AJ71" s="120">
        <f t="shared" si="18"/>
        <v>0</v>
      </c>
      <c r="AK71" s="120">
        <f t="shared" si="19"/>
        <v>0</v>
      </c>
      <c r="AL71" s="120">
        <f t="shared" si="20"/>
        <v>0</v>
      </c>
      <c r="AM71" s="134"/>
    </row>
    <row r="72" spans="2:39" s="113" customFormat="1" x14ac:dyDescent="0.2">
      <c r="B72" s="133"/>
      <c r="C72" s="150"/>
      <c r="D72" s="50">
        <v>58</v>
      </c>
      <c r="E72" s="1100" t="str">
        <f>+'Li O school'!E72</f>
        <v>school 58</v>
      </c>
      <c r="F72" s="1100" t="str">
        <f>+'Li O school'!F72</f>
        <v>11AA</v>
      </c>
      <c r="G72" s="925">
        <v>0</v>
      </c>
      <c r="H72" s="925">
        <v>0</v>
      </c>
      <c r="I72" s="119">
        <f t="shared" si="31"/>
        <v>0</v>
      </c>
      <c r="J72" s="119">
        <f t="shared" si="31"/>
        <v>0</v>
      </c>
      <c r="K72" s="119">
        <f t="shared" si="28"/>
        <v>0</v>
      </c>
      <c r="L72" s="119">
        <f t="shared" si="29"/>
        <v>0</v>
      </c>
      <c r="M72" s="71"/>
      <c r="N72" s="68">
        <f>ROUND(G72*tab!E$39,2)</f>
        <v>0</v>
      </c>
      <c r="O72" s="68">
        <f>ROUND(H72*tab!F$39,2)</f>
        <v>0</v>
      </c>
      <c r="P72" s="68">
        <f>ROUND(I72*tab!G$39,2)</f>
        <v>0</v>
      </c>
      <c r="Q72" s="68">
        <f>ROUND(J72*tab!H$39,2)</f>
        <v>0</v>
      </c>
      <c r="R72" s="68">
        <f>ROUND(K72*tab!I$39,2)</f>
        <v>0</v>
      </c>
      <c r="S72" s="68">
        <f>ROUND(L72*tab!J$39,2)</f>
        <v>0</v>
      </c>
      <c r="T72" s="71"/>
      <c r="U72" s="153">
        <v>0</v>
      </c>
      <c r="V72" s="120">
        <f t="shared" si="32"/>
        <v>0</v>
      </c>
      <c r="W72" s="120">
        <f t="shared" si="32"/>
        <v>0</v>
      </c>
      <c r="X72" s="120">
        <f t="shared" si="32"/>
        <v>0</v>
      </c>
      <c r="Y72" s="120">
        <f t="shared" si="7"/>
        <v>0</v>
      </c>
      <c r="Z72" s="120">
        <f t="shared" si="8"/>
        <v>0</v>
      </c>
      <c r="AA72" s="71"/>
      <c r="AB72" s="68">
        <f>+H72*tab!F$42</f>
        <v>0</v>
      </c>
      <c r="AC72" s="68">
        <f>+I72*tab!G$42</f>
        <v>0</v>
      </c>
      <c r="AD72" s="68">
        <f>+J72*tab!H$42</f>
        <v>0</v>
      </c>
      <c r="AE72" s="68">
        <f>+K72*tab!I$42</f>
        <v>0</v>
      </c>
      <c r="AF72" s="68">
        <f>+L72*tab!J$42</f>
        <v>0</v>
      </c>
      <c r="AG72" s="71"/>
      <c r="AH72" s="599">
        <v>0</v>
      </c>
      <c r="AI72" s="120">
        <f t="shared" si="17"/>
        <v>0</v>
      </c>
      <c r="AJ72" s="120">
        <f t="shared" si="18"/>
        <v>0</v>
      </c>
      <c r="AK72" s="120">
        <f t="shared" si="19"/>
        <v>0</v>
      </c>
      <c r="AL72" s="120">
        <f t="shared" si="20"/>
        <v>0</v>
      </c>
      <c r="AM72" s="134"/>
    </row>
    <row r="73" spans="2:39" s="113" customFormat="1" x14ac:dyDescent="0.2">
      <c r="B73" s="133"/>
      <c r="C73" s="150"/>
      <c r="D73" s="50">
        <v>59</v>
      </c>
      <c r="E73" s="1100" t="str">
        <f>+'Li O school'!E73</f>
        <v>school 59</v>
      </c>
      <c r="F73" s="1100" t="str">
        <f>+'Li O school'!F73</f>
        <v>11AA</v>
      </c>
      <c r="G73" s="925">
        <v>0</v>
      </c>
      <c r="H73" s="925">
        <v>0</v>
      </c>
      <c r="I73" s="119">
        <f t="shared" si="31"/>
        <v>0</v>
      </c>
      <c r="J73" s="119">
        <f t="shared" si="31"/>
        <v>0</v>
      </c>
      <c r="K73" s="119">
        <f t="shared" si="28"/>
        <v>0</v>
      </c>
      <c r="L73" s="119">
        <f t="shared" si="29"/>
        <v>0</v>
      </c>
      <c r="M73" s="71"/>
      <c r="N73" s="68">
        <f>ROUND(G73*tab!E$39,2)</f>
        <v>0</v>
      </c>
      <c r="O73" s="68">
        <f>ROUND(H73*tab!F$39,2)</f>
        <v>0</v>
      </c>
      <c r="P73" s="68">
        <f>ROUND(I73*tab!G$39,2)</f>
        <v>0</v>
      </c>
      <c r="Q73" s="68">
        <f>ROUND(J73*tab!H$39,2)</f>
        <v>0</v>
      </c>
      <c r="R73" s="68">
        <f>ROUND(K73*tab!I$39,2)</f>
        <v>0</v>
      </c>
      <c r="S73" s="68">
        <f>ROUND(L73*tab!J$39,2)</f>
        <v>0</v>
      </c>
      <c r="T73" s="71"/>
      <c r="U73" s="153">
        <v>0</v>
      </c>
      <c r="V73" s="120">
        <f t="shared" si="32"/>
        <v>0</v>
      </c>
      <c r="W73" s="120">
        <f t="shared" si="32"/>
        <v>0</v>
      </c>
      <c r="X73" s="120">
        <f t="shared" si="32"/>
        <v>0</v>
      </c>
      <c r="Y73" s="120">
        <f t="shared" si="7"/>
        <v>0</v>
      </c>
      <c r="Z73" s="120">
        <f t="shared" si="8"/>
        <v>0</v>
      </c>
      <c r="AA73" s="71"/>
      <c r="AB73" s="68">
        <f>+H73*tab!F$42</f>
        <v>0</v>
      </c>
      <c r="AC73" s="68">
        <f>+I73*tab!G$42</f>
        <v>0</v>
      </c>
      <c r="AD73" s="68">
        <f>+J73*tab!H$42</f>
        <v>0</v>
      </c>
      <c r="AE73" s="68">
        <f>+K73*tab!I$42</f>
        <v>0</v>
      </c>
      <c r="AF73" s="68">
        <f>+L73*tab!J$42</f>
        <v>0</v>
      </c>
      <c r="AG73" s="71"/>
      <c r="AH73" s="599">
        <v>0</v>
      </c>
      <c r="AI73" s="120">
        <f t="shared" si="17"/>
        <v>0</v>
      </c>
      <c r="AJ73" s="120">
        <f t="shared" si="18"/>
        <v>0</v>
      </c>
      <c r="AK73" s="120">
        <f t="shared" si="19"/>
        <v>0</v>
      </c>
      <c r="AL73" s="120">
        <f t="shared" si="20"/>
        <v>0</v>
      </c>
      <c r="AM73" s="134"/>
    </row>
    <row r="74" spans="2:39" s="113" customFormat="1" x14ac:dyDescent="0.2">
      <c r="B74" s="133"/>
      <c r="C74" s="150"/>
      <c r="D74" s="50">
        <v>60</v>
      </c>
      <c r="E74" s="1100" t="str">
        <f>+'Li O school'!E74</f>
        <v>school 60</v>
      </c>
      <c r="F74" s="1100" t="str">
        <f>+'Li O school'!F74</f>
        <v>11AA</v>
      </c>
      <c r="G74" s="925">
        <v>0</v>
      </c>
      <c r="H74" s="925">
        <v>0</v>
      </c>
      <c r="I74" s="119">
        <f t="shared" si="31"/>
        <v>0</v>
      </c>
      <c r="J74" s="119">
        <f t="shared" si="31"/>
        <v>0</v>
      </c>
      <c r="K74" s="119">
        <f t="shared" si="28"/>
        <v>0</v>
      </c>
      <c r="L74" s="119">
        <f t="shared" si="29"/>
        <v>0</v>
      </c>
      <c r="M74" s="71"/>
      <c r="N74" s="68">
        <f>ROUND(G74*tab!E$39,2)</f>
        <v>0</v>
      </c>
      <c r="O74" s="68">
        <f>ROUND(H74*tab!F$39,2)</f>
        <v>0</v>
      </c>
      <c r="P74" s="68">
        <f>ROUND(I74*tab!G$39,2)</f>
        <v>0</v>
      </c>
      <c r="Q74" s="68">
        <f>ROUND(J74*tab!H$39,2)</f>
        <v>0</v>
      </c>
      <c r="R74" s="68">
        <f>ROUND(K74*tab!I$39,2)</f>
        <v>0</v>
      </c>
      <c r="S74" s="68">
        <f>ROUND(L74*tab!J$39,2)</f>
        <v>0</v>
      </c>
      <c r="T74" s="71"/>
      <c r="U74" s="153">
        <v>0</v>
      </c>
      <c r="V74" s="120">
        <f t="shared" si="32"/>
        <v>0</v>
      </c>
      <c r="W74" s="120">
        <f t="shared" si="32"/>
        <v>0</v>
      </c>
      <c r="X74" s="120">
        <f t="shared" si="32"/>
        <v>0</v>
      </c>
      <c r="Y74" s="120">
        <f t="shared" si="7"/>
        <v>0</v>
      </c>
      <c r="Z74" s="120">
        <f t="shared" si="8"/>
        <v>0</v>
      </c>
      <c r="AA74" s="71"/>
      <c r="AB74" s="68">
        <f>+H74*tab!F$42</f>
        <v>0</v>
      </c>
      <c r="AC74" s="68">
        <f>+I74*tab!G$42</f>
        <v>0</v>
      </c>
      <c r="AD74" s="68">
        <f>+J74*tab!H$42</f>
        <v>0</v>
      </c>
      <c r="AE74" s="68">
        <f>+K74*tab!I$42</f>
        <v>0</v>
      </c>
      <c r="AF74" s="68">
        <f>+L74*tab!J$42</f>
        <v>0</v>
      </c>
      <c r="AG74" s="71"/>
      <c r="AH74" s="599">
        <v>0</v>
      </c>
      <c r="AI74" s="120">
        <f t="shared" si="17"/>
        <v>0</v>
      </c>
      <c r="AJ74" s="120">
        <f t="shared" si="18"/>
        <v>0</v>
      </c>
      <c r="AK74" s="120">
        <f t="shared" si="19"/>
        <v>0</v>
      </c>
      <c r="AL74" s="120">
        <f t="shared" si="20"/>
        <v>0</v>
      </c>
      <c r="AM74" s="134"/>
    </row>
    <row r="75" spans="2:39" s="113" customFormat="1" x14ac:dyDescent="0.2">
      <c r="B75" s="133"/>
      <c r="C75" s="150"/>
      <c r="D75" s="50">
        <v>61</v>
      </c>
      <c r="E75" s="1100" t="str">
        <f>+'Li O school'!E75</f>
        <v>school 61</v>
      </c>
      <c r="F75" s="1100" t="str">
        <f>+'Li O school'!F75</f>
        <v>11AA</v>
      </c>
      <c r="G75" s="925">
        <v>0</v>
      </c>
      <c r="H75" s="925">
        <v>0</v>
      </c>
      <c r="I75" s="119">
        <f t="shared" ref="I75:J94" si="33">H75</f>
        <v>0</v>
      </c>
      <c r="J75" s="119">
        <f t="shared" si="33"/>
        <v>0</v>
      </c>
      <c r="K75" s="119">
        <f t="shared" si="28"/>
        <v>0</v>
      </c>
      <c r="L75" s="119">
        <f t="shared" si="29"/>
        <v>0</v>
      </c>
      <c r="M75" s="71"/>
      <c r="N75" s="68">
        <f>ROUND(G75*tab!E$39,2)</f>
        <v>0</v>
      </c>
      <c r="O75" s="68">
        <f>ROUND(H75*tab!F$39,2)</f>
        <v>0</v>
      </c>
      <c r="P75" s="68">
        <f>ROUND(I75*tab!G$39,2)</f>
        <v>0</v>
      </c>
      <c r="Q75" s="68">
        <f>ROUND(J75*tab!H$39,2)</f>
        <v>0</v>
      </c>
      <c r="R75" s="68">
        <f>ROUND(K75*tab!I$39,2)</f>
        <v>0</v>
      </c>
      <c r="S75" s="68">
        <f>ROUND(L75*tab!J$39,2)</f>
        <v>0</v>
      </c>
      <c r="T75" s="71"/>
      <c r="U75" s="153">
        <v>0</v>
      </c>
      <c r="V75" s="120">
        <f t="shared" ref="V75:X94" si="34">U75</f>
        <v>0</v>
      </c>
      <c r="W75" s="120">
        <f t="shared" si="34"/>
        <v>0</v>
      </c>
      <c r="X75" s="120">
        <f t="shared" si="34"/>
        <v>0</v>
      </c>
      <c r="Y75" s="120">
        <f t="shared" si="7"/>
        <v>0</v>
      </c>
      <c r="Z75" s="120">
        <f t="shared" si="8"/>
        <v>0</v>
      </c>
      <c r="AA75" s="71"/>
      <c r="AB75" s="68">
        <f>+H75*tab!F$42</f>
        <v>0</v>
      </c>
      <c r="AC75" s="68">
        <f>+I75*tab!G$42</f>
        <v>0</v>
      </c>
      <c r="AD75" s="68">
        <f>+J75*tab!H$42</f>
        <v>0</v>
      </c>
      <c r="AE75" s="68">
        <f>+K75*tab!I$42</f>
        <v>0</v>
      </c>
      <c r="AF75" s="68">
        <f>+L75*tab!J$42</f>
        <v>0</v>
      </c>
      <c r="AG75" s="71"/>
      <c r="AH75" s="599">
        <v>0</v>
      </c>
      <c r="AI75" s="120">
        <f t="shared" si="17"/>
        <v>0</v>
      </c>
      <c r="AJ75" s="120">
        <f t="shared" si="18"/>
        <v>0</v>
      </c>
      <c r="AK75" s="120">
        <f t="shared" si="19"/>
        <v>0</v>
      </c>
      <c r="AL75" s="120">
        <f t="shared" si="20"/>
        <v>0</v>
      </c>
      <c r="AM75" s="134"/>
    </row>
    <row r="76" spans="2:39" s="113" customFormat="1" x14ac:dyDescent="0.2">
      <c r="B76" s="133"/>
      <c r="C76" s="150"/>
      <c r="D76" s="50">
        <v>62</v>
      </c>
      <c r="E76" s="1100" t="str">
        <f>+'Li O school'!E76</f>
        <v>school 62</v>
      </c>
      <c r="F76" s="1100" t="str">
        <f>+'Li O school'!F76</f>
        <v>11AA</v>
      </c>
      <c r="G76" s="925">
        <v>0</v>
      </c>
      <c r="H76" s="925">
        <v>0</v>
      </c>
      <c r="I76" s="119">
        <f t="shared" si="33"/>
        <v>0</v>
      </c>
      <c r="J76" s="119">
        <f t="shared" si="33"/>
        <v>0</v>
      </c>
      <c r="K76" s="119">
        <f t="shared" si="28"/>
        <v>0</v>
      </c>
      <c r="L76" s="119">
        <f t="shared" si="29"/>
        <v>0</v>
      </c>
      <c r="M76" s="71"/>
      <c r="N76" s="68">
        <f>ROUND(G76*tab!E$39,2)</f>
        <v>0</v>
      </c>
      <c r="O76" s="68">
        <f>ROUND(H76*tab!F$39,2)</f>
        <v>0</v>
      </c>
      <c r="P76" s="68">
        <f>ROUND(I76*tab!G$39,2)</f>
        <v>0</v>
      </c>
      <c r="Q76" s="68">
        <f>ROUND(J76*tab!H$39,2)</f>
        <v>0</v>
      </c>
      <c r="R76" s="68">
        <f>ROUND(K76*tab!I$39,2)</f>
        <v>0</v>
      </c>
      <c r="S76" s="68">
        <f>ROUND(L76*tab!J$39,2)</f>
        <v>0</v>
      </c>
      <c r="T76" s="71"/>
      <c r="U76" s="153">
        <v>0</v>
      </c>
      <c r="V76" s="120">
        <f t="shared" si="34"/>
        <v>0</v>
      </c>
      <c r="W76" s="120">
        <f t="shared" si="34"/>
        <v>0</v>
      </c>
      <c r="X76" s="120">
        <f t="shared" si="34"/>
        <v>0</v>
      </c>
      <c r="Y76" s="120">
        <f t="shared" si="7"/>
        <v>0</v>
      </c>
      <c r="Z76" s="120">
        <f t="shared" si="8"/>
        <v>0</v>
      </c>
      <c r="AA76" s="71"/>
      <c r="AB76" s="68">
        <f>+H76*tab!F$42</f>
        <v>0</v>
      </c>
      <c r="AC76" s="68">
        <f>+I76*tab!G$42</f>
        <v>0</v>
      </c>
      <c r="AD76" s="68">
        <f>+J76*tab!H$42</f>
        <v>0</v>
      </c>
      <c r="AE76" s="68">
        <f>+K76*tab!I$42</f>
        <v>0</v>
      </c>
      <c r="AF76" s="68">
        <f>+L76*tab!J$42</f>
        <v>0</v>
      </c>
      <c r="AG76" s="71"/>
      <c r="AH76" s="599">
        <v>0</v>
      </c>
      <c r="AI76" s="120">
        <f t="shared" si="17"/>
        <v>0</v>
      </c>
      <c r="AJ76" s="120">
        <f t="shared" si="18"/>
        <v>0</v>
      </c>
      <c r="AK76" s="120">
        <f t="shared" si="19"/>
        <v>0</v>
      </c>
      <c r="AL76" s="120">
        <f t="shared" si="20"/>
        <v>0</v>
      </c>
      <c r="AM76" s="134"/>
    </row>
    <row r="77" spans="2:39" s="113" customFormat="1" x14ac:dyDescent="0.2">
      <c r="B77" s="133"/>
      <c r="C77" s="150"/>
      <c r="D77" s="50">
        <v>63</v>
      </c>
      <c r="E77" s="1100" t="str">
        <f>+'Li O school'!E77</f>
        <v>school 63</v>
      </c>
      <c r="F77" s="1100" t="str">
        <f>+'Li O school'!F77</f>
        <v>11AA</v>
      </c>
      <c r="G77" s="925">
        <v>0</v>
      </c>
      <c r="H77" s="925">
        <v>0</v>
      </c>
      <c r="I77" s="119">
        <f t="shared" si="33"/>
        <v>0</v>
      </c>
      <c r="J77" s="119">
        <f t="shared" si="33"/>
        <v>0</v>
      </c>
      <c r="K77" s="119">
        <f t="shared" si="28"/>
        <v>0</v>
      </c>
      <c r="L77" s="119">
        <f t="shared" si="29"/>
        <v>0</v>
      </c>
      <c r="M77" s="71"/>
      <c r="N77" s="68">
        <f>ROUND(G77*tab!E$39,2)</f>
        <v>0</v>
      </c>
      <c r="O77" s="68">
        <f>ROUND(H77*tab!F$39,2)</f>
        <v>0</v>
      </c>
      <c r="P77" s="68">
        <f>ROUND(I77*tab!G$39,2)</f>
        <v>0</v>
      </c>
      <c r="Q77" s="68">
        <f>ROUND(J77*tab!H$39,2)</f>
        <v>0</v>
      </c>
      <c r="R77" s="68">
        <f>ROUND(K77*tab!I$39,2)</f>
        <v>0</v>
      </c>
      <c r="S77" s="68">
        <f>ROUND(L77*tab!J$39,2)</f>
        <v>0</v>
      </c>
      <c r="T77" s="71"/>
      <c r="U77" s="153">
        <v>0</v>
      </c>
      <c r="V77" s="120">
        <f t="shared" si="34"/>
        <v>0</v>
      </c>
      <c r="W77" s="120">
        <f t="shared" si="34"/>
        <v>0</v>
      </c>
      <c r="X77" s="120">
        <f t="shared" si="34"/>
        <v>0</v>
      </c>
      <c r="Y77" s="120">
        <f t="shared" si="7"/>
        <v>0</v>
      </c>
      <c r="Z77" s="120">
        <f t="shared" si="8"/>
        <v>0</v>
      </c>
      <c r="AA77" s="71"/>
      <c r="AB77" s="68">
        <f>+H77*tab!F$42</f>
        <v>0</v>
      </c>
      <c r="AC77" s="68">
        <f>+I77*tab!G$42</f>
        <v>0</v>
      </c>
      <c r="AD77" s="68">
        <f>+J77*tab!H$42</f>
        <v>0</v>
      </c>
      <c r="AE77" s="68">
        <f>+K77*tab!I$42</f>
        <v>0</v>
      </c>
      <c r="AF77" s="68">
        <f>+L77*tab!J$42</f>
        <v>0</v>
      </c>
      <c r="AG77" s="71"/>
      <c r="AH77" s="599">
        <v>0</v>
      </c>
      <c r="AI77" s="120">
        <f t="shared" si="17"/>
        <v>0</v>
      </c>
      <c r="AJ77" s="120">
        <f t="shared" si="18"/>
        <v>0</v>
      </c>
      <c r="AK77" s="120">
        <f t="shared" si="19"/>
        <v>0</v>
      </c>
      <c r="AL77" s="120">
        <f t="shared" si="20"/>
        <v>0</v>
      </c>
      <c r="AM77" s="134"/>
    </row>
    <row r="78" spans="2:39" s="113" customFormat="1" x14ac:dyDescent="0.2">
      <c r="B78" s="133"/>
      <c r="C78" s="150"/>
      <c r="D78" s="50">
        <v>64</v>
      </c>
      <c r="E78" s="1100" t="str">
        <f>+'Li O school'!E78</f>
        <v>school 64</v>
      </c>
      <c r="F78" s="1100" t="str">
        <f>+'Li O school'!F78</f>
        <v>11AA</v>
      </c>
      <c r="G78" s="925">
        <v>0</v>
      </c>
      <c r="H78" s="925">
        <v>0</v>
      </c>
      <c r="I78" s="119">
        <f t="shared" si="33"/>
        <v>0</v>
      </c>
      <c r="J78" s="119">
        <f t="shared" si="33"/>
        <v>0</v>
      </c>
      <c r="K78" s="119">
        <f t="shared" si="28"/>
        <v>0</v>
      </c>
      <c r="L78" s="119">
        <f t="shared" si="29"/>
        <v>0</v>
      </c>
      <c r="M78" s="71"/>
      <c r="N78" s="68">
        <f>ROUND(G78*tab!E$39,2)</f>
        <v>0</v>
      </c>
      <c r="O78" s="68">
        <f>ROUND(H78*tab!F$39,2)</f>
        <v>0</v>
      </c>
      <c r="P78" s="68">
        <f>ROUND(I78*tab!G$39,2)</f>
        <v>0</v>
      </c>
      <c r="Q78" s="68">
        <f>ROUND(J78*tab!H$39,2)</f>
        <v>0</v>
      </c>
      <c r="R78" s="68">
        <f>ROUND(K78*tab!I$39,2)</f>
        <v>0</v>
      </c>
      <c r="S78" s="68">
        <f>ROUND(L78*tab!J$39,2)</f>
        <v>0</v>
      </c>
      <c r="T78" s="71"/>
      <c r="U78" s="153">
        <v>0</v>
      </c>
      <c r="V78" s="120">
        <f t="shared" si="34"/>
        <v>0</v>
      </c>
      <c r="W78" s="120">
        <f t="shared" si="34"/>
        <v>0</v>
      </c>
      <c r="X78" s="120">
        <f t="shared" si="34"/>
        <v>0</v>
      </c>
      <c r="Y78" s="120">
        <f t="shared" si="7"/>
        <v>0</v>
      </c>
      <c r="Z78" s="120">
        <f t="shared" si="8"/>
        <v>0</v>
      </c>
      <c r="AA78" s="71"/>
      <c r="AB78" s="68">
        <f>+H78*tab!F$42</f>
        <v>0</v>
      </c>
      <c r="AC78" s="68">
        <f>+I78*tab!G$42</f>
        <v>0</v>
      </c>
      <c r="AD78" s="68">
        <f>+J78*tab!H$42</f>
        <v>0</v>
      </c>
      <c r="AE78" s="68">
        <f>+K78*tab!I$42</f>
        <v>0</v>
      </c>
      <c r="AF78" s="68">
        <f>+L78*tab!J$42</f>
        <v>0</v>
      </c>
      <c r="AG78" s="71"/>
      <c r="AH78" s="599">
        <v>0</v>
      </c>
      <c r="AI78" s="120">
        <f t="shared" si="17"/>
        <v>0</v>
      </c>
      <c r="AJ78" s="120">
        <f t="shared" si="18"/>
        <v>0</v>
      </c>
      <c r="AK78" s="120">
        <f t="shared" si="19"/>
        <v>0</v>
      </c>
      <c r="AL78" s="120">
        <f t="shared" si="20"/>
        <v>0</v>
      </c>
      <c r="AM78" s="134"/>
    </row>
    <row r="79" spans="2:39" s="113" customFormat="1" x14ac:dyDescent="0.2">
      <c r="B79" s="133"/>
      <c r="C79" s="150"/>
      <c r="D79" s="50">
        <v>65</v>
      </c>
      <c r="E79" s="1100" t="str">
        <f>+'Li O school'!E79</f>
        <v>school 65</v>
      </c>
      <c r="F79" s="1100" t="str">
        <f>+'Li O school'!F79</f>
        <v>11AA</v>
      </c>
      <c r="G79" s="925">
        <v>0</v>
      </c>
      <c r="H79" s="925">
        <v>0</v>
      </c>
      <c r="I79" s="119">
        <f t="shared" si="33"/>
        <v>0</v>
      </c>
      <c r="J79" s="119">
        <f t="shared" si="33"/>
        <v>0</v>
      </c>
      <c r="K79" s="119">
        <f t="shared" ref="K79:K139" si="35">J79</f>
        <v>0</v>
      </c>
      <c r="L79" s="119">
        <f t="shared" ref="L79:L139" si="36">K79</f>
        <v>0</v>
      </c>
      <c r="M79" s="71"/>
      <c r="N79" s="68">
        <f>ROUND(G79*tab!E$39,2)</f>
        <v>0</v>
      </c>
      <c r="O79" s="68">
        <f>ROUND(H79*tab!F$39,2)</f>
        <v>0</v>
      </c>
      <c r="P79" s="68">
        <f>ROUND(I79*tab!G$39,2)</f>
        <v>0</v>
      </c>
      <c r="Q79" s="68">
        <f>ROUND(J79*tab!H$39,2)</f>
        <v>0</v>
      </c>
      <c r="R79" s="68">
        <f>ROUND(K79*tab!I$39,2)</f>
        <v>0</v>
      </c>
      <c r="S79" s="68">
        <f>ROUND(L79*tab!J$39,2)</f>
        <v>0</v>
      </c>
      <c r="T79" s="71"/>
      <c r="U79" s="153">
        <v>0</v>
      </c>
      <c r="V79" s="120">
        <f t="shared" si="34"/>
        <v>0</v>
      </c>
      <c r="W79" s="120">
        <f t="shared" si="34"/>
        <v>0</v>
      </c>
      <c r="X79" s="120">
        <f t="shared" si="34"/>
        <v>0</v>
      </c>
      <c r="Y79" s="120">
        <f t="shared" ref="Y79:Y139" si="37">X79</f>
        <v>0</v>
      </c>
      <c r="Z79" s="120">
        <f t="shared" ref="Z79:Z139" si="38">Y79</f>
        <v>0</v>
      </c>
      <c r="AA79" s="71"/>
      <c r="AB79" s="68">
        <f>+H79*tab!F$42</f>
        <v>0</v>
      </c>
      <c r="AC79" s="68">
        <f>+I79*tab!G$42</f>
        <v>0</v>
      </c>
      <c r="AD79" s="68">
        <f>+J79*tab!H$42</f>
        <v>0</v>
      </c>
      <c r="AE79" s="68">
        <f>+K79*tab!I$42</f>
        <v>0</v>
      </c>
      <c r="AF79" s="68">
        <f>+L79*tab!J$42</f>
        <v>0</v>
      </c>
      <c r="AG79" s="71"/>
      <c r="AH79" s="599">
        <v>0</v>
      </c>
      <c r="AI79" s="120">
        <f t="shared" si="17"/>
        <v>0</v>
      </c>
      <c r="AJ79" s="120">
        <f t="shared" si="18"/>
        <v>0</v>
      </c>
      <c r="AK79" s="120">
        <f t="shared" si="19"/>
        <v>0</v>
      </c>
      <c r="AL79" s="120">
        <f t="shared" si="20"/>
        <v>0</v>
      </c>
      <c r="AM79" s="134"/>
    </row>
    <row r="80" spans="2:39" s="113" customFormat="1" x14ac:dyDescent="0.2">
      <c r="B80" s="133"/>
      <c r="C80" s="150"/>
      <c r="D80" s="50">
        <v>66</v>
      </c>
      <c r="E80" s="1100" t="str">
        <f>+'Li O school'!E80</f>
        <v>school 66</v>
      </c>
      <c r="F80" s="1100" t="str">
        <f>+'Li O school'!F80</f>
        <v>11AA</v>
      </c>
      <c r="G80" s="925">
        <v>0</v>
      </c>
      <c r="H80" s="925">
        <v>0</v>
      </c>
      <c r="I80" s="119">
        <f t="shared" si="33"/>
        <v>0</v>
      </c>
      <c r="J80" s="119">
        <f t="shared" si="33"/>
        <v>0</v>
      </c>
      <c r="K80" s="119">
        <f t="shared" si="35"/>
        <v>0</v>
      </c>
      <c r="L80" s="119">
        <f t="shared" si="36"/>
        <v>0</v>
      </c>
      <c r="M80" s="71"/>
      <c r="N80" s="68">
        <f>ROUND(G80*tab!E$39,2)</f>
        <v>0</v>
      </c>
      <c r="O80" s="68">
        <f>ROUND(H80*tab!F$39,2)</f>
        <v>0</v>
      </c>
      <c r="P80" s="68">
        <f>ROUND(I80*tab!G$39,2)</f>
        <v>0</v>
      </c>
      <c r="Q80" s="68">
        <f>ROUND(J80*tab!H$39,2)</f>
        <v>0</v>
      </c>
      <c r="R80" s="68">
        <f>ROUND(K80*tab!I$39,2)</f>
        <v>0</v>
      </c>
      <c r="S80" s="68">
        <f>ROUND(L80*tab!J$39,2)</f>
        <v>0</v>
      </c>
      <c r="T80" s="71"/>
      <c r="U80" s="153">
        <v>0</v>
      </c>
      <c r="V80" s="120">
        <f t="shared" si="34"/>
        <v>0</v>
      </c>
      <c r="W80" s="120">
        <f t="shared" si="34"/>
        <v>0</v>
      </c>
      <c r="X80" s="120">
        <f t="shared" si="34"/>
        <v>0</v>
      </c>
      <c r="Y80" s="120">
        <f t="shared" si="37"/>
        <v>0</v>
      </c>
      <c r="Z80" s="120">
        <f t="shared" si="38"/>
        <v>0</v>
      </c>
      <c r="AA80" s="71"/>
      <c r="AB80" s="68">
        <f>+H80*tab!F$42</f>
        <v>0</v>
      </c>
      <c r="AC80" s="68">
        <f>+I80*tab!G$42</f>
        <v>0</v>
      </c>
      <c r="AD80" s="68">
        <f>+J80*tab!H$42</f>
        <v>0</v>
      </c>
      <c r="AE80" s="68">
        <f>+K80*tab!I$42</f>
        <v>0</v>
      </c>
      <c r="AF80" s="68">
        <f>+L80*tab!J$42</f>
        <v>0</v>
      </c>
      <c r="AG80" s="71"/>
      <c r="AH80" s="599">
        <v>0</v>
      </c>
      <c r="AI80" s="120">
        <f t="shared" si="17"/>
        <v>0</v>
      </c>
      <c r="AJ80" s="120">
        <f t="shared" si="18"/>
        <v>0</v>
      </c>
      <c r="AK80" s="120">
        <f t="shared" si="19"/>
        <v>0</v>
      </c>
      <c r="AL80" s="120">
        <f t="shared" si="20"/>
        <v>0</v>
      </c>
      <c r="AM80" s="134"/>
    </row>
    <row r="81" spans="2:39" s="113" customFormat="1" x14ac:dyDescent="0.2">
      <c r="B81" s="133"/>
      <c r="C81" s="150"/>
      <c r="D81" s="50">
        <v>67</v>
      </c>
      <c r="E81" s="1100" t="str">
        <f>+'Li O school'!E81</f>
        <v>school 67</v>
      </c>
      <c r="F81" s="1100" t="str">
        <f>+'Li O school'!F81</f>
        <v>11AA</v>
      </c>
      <c r="G81" s="925">
        <v>0</v>
      </c>
      <c r="H81" s="925">
        <v>0</v>
      </c>
      <c r="I81" s="119">
        <f t="shared" si="33"/>
        <v>0</v>
      </c>
      <c r="J81" s="119">
        <f t="shared" si="33"/>
        <v>0</v>
      </c>
      <c r="K81" s="119">
        <f t="shared" si="35"/>
        <v>0</v>
      </c>
      <c r="L81" s="119">
        <f t="shared" si="36"/>
        <v>0</v>
      </c>
      <c r="M81" s="71"/>
      <c r="N81" s="68">
        <f>ROUND(G81*tab!E$39,2)</f>
        <v>0</v>
      </c>
      <c r="O81" s="68">
        <f>ROUND(H81*tab!F$39,2)</f>
        <v>0</v>
      </c>
      <c r="P81" s="68">
        <f>ROUND(I81*tab!G$39,2)</f>
        <v>0</v>
      </c>
      <c r="Q81" s="68">
        <f>ROUND(J81*tab!H$39,2)</f>
        <v>0</v>
      </c>
      <c r="R81" s="68">
        <f>ROUND(K81*tab!I$39,2)</f>
        <v>0</v>
      </c>
      <c r="S81" s="68">
        <f>ROUND(L81*tab!J$39,2)</f>
        <v>0</v>
      </c>
      <c r="T81" s="71"/>
      <c r="U81" s="153">
        <v>0</v>
      </c>
      <c r="V81" s="120">
        <f t="shared" si="34"/>
        <v>0</v>
      </c>
      <c r="W81" s="120">
        <f t="shared" si="34"/>
        <v>0</v>
      </c>
      <c r="X81" s="120">
        <f t="shared" si="34"/>
        <v>0</v>
      </c>
      <c r="Y81" s="120">
        <f t="shared" si="37"/>
        <v>0</v>
      </c>
      <c r="Z81" s="120">
        <f t="shared" si="38"/>
        <v>0</v>
      </c>
      <c r="AA81" s="71"/>
      <c r="AB81" s="68">
        <f>+H81*tab!F$42</f>
        <v>0</v>
      </c>
      <c r="AC81" s="68">
        <f>+I81*tab!G$42</f>
        <v>0</v>
      </c>
      <c r="AD81" s="68">
        <f>+J81*tab!H$42</f>
        <v>0</v>
      </c>
      <c r="AE81" s="68">
        <f>+K81*tab!I$42</f>
        <v>0</v>
      </c>
      <c r="AF81" s="68">
        <f>+L81*tab!J$42</f>
        <v>0</v>
      </c>
      <c r="AG81" s="71"/>
      <c r="AH81" s="599">
        <v>0</v>
      </c>
      <c r="AI81" s="120">
        <f t="shared" si="17"/>
        <v>0</v>
      </c>
      <c r="AJ81" s="120">
        <f t="shared" si="18"/>
        <v>0</v>
      </c>
      <c r="AK81" s="120">
        <f t="shared" si="19"/>
        <v>0</v>
      </c>
      <c r="AL81" s="120">
        <f t="shared" si="20"/>
        <v>0</v>
      </c>
      <c r="AM81" s="134"/>
    </row>
    <row r="82" spans="2:39" s="113" customFormat="1" x14ac:dyDescent="0.2">
      <c r="B82" s="133"/>
      <c r="C82" s="150"/>
      <c r="D82" s="50">
        <v>68</v>
      </c>
      <c r="E82" s="1100" t="str">
        <f>+'Li O school'!E82</f>
        <v>school 68</v>
      </c>
      <c r="F82" s="1100" t="str">
        <f>+'Li O school'!F82</f>
        <v>11AA</v>
      </c>
      <c r="G82" s="925">
        <v>0</v>
      </c>
      <c r="H82" s="925">
        <v>0</v>
      </c>
      <c r="I82" s="119">
        <f t="shared" si="33"/>
        <v>0</v>
      </c>
      <c r="J82" s="119">
        <f t="shared" si="33"/>
        <v>0</v>
      </c>
      <c r="K82" s="119">
        <f t="shared" si="35"/>
        <v>0</v>
      </c>
      <c r="L82" s="119">
        <f t="shared" si="36"/>
        <v>0</v>
      </c>
      <c r="M82" s="71"/>
      <c r="N82" s="68">
        <f>ROUND(G82*tab!E$39,2)</f>
        <v>0</v>
      </c>
      <c r="O82" s="68">
        <f>ROUND(H82*tab!F$39,2)</f>
        <v>0</v>
      </c>
      <c r="P82" s="68">
        <f>ROUND(I82*tab!G$39,2)</f>
        <v>0</v>
      </c>
      <c r="Q82" s="68">
        <f>ROUND(J82*tab!H$39,2)</f>
        <v>0</v>
      </c>
      <c r="R82" s="68">
        <f>ROUND(K82*tab!I$39,2)</f>
        <v>0</v>
      </c>
      <c r="S82" s="68">
        <f>ROUND(L82*tab!J$39,2)</f>
        <v>0</v>
      </c>
      <c r="T82" s="71"/>
      <c r="U82" s="153">
        <v>0</v>
      </c>
      <c r="V82" s="120">
        <f t="shared" si="34"/>
        <v>0</v>
      </c>
      <c r="W82" s="120">
        <f t="shared" si="34"/>
        <v>0</v>
      </c>
      <c r="X82" s="120">
        <f t="shared" si="34"/>
        <v>0</v>
      </c>
      <c r="Y82" s="120">
        <f t="shared" si="37"/>
        <v>0</v>
      </c>
      <c r="Z82" s="120">
        <f t="shared" si="38"/>
        <v>0</v>
      </c>
      <c r="AA82" s="71"/>
      <c r="AB82" s="68">
        <f>+H82*tab!F$42</f>
        <v>0</v>
      </c>
      <c r="AC82" s="68">
        <f>+I82*tab!G$42</f>
        <v>0</v>
      </c>
      <c r="AD82" s="68">
        <f>+J82*tab!H$42</f>
        <v>0</v>
      </c>
      <c r="AE82" s="68">
        <f>+K82*tab!I$42</f>
        <v>0</v>
      </c>
      <c r="AF82" s="68">
        <f>+L82*tab!J$42</f>
        <v>0</v>
      </c>
      <c r="AG82" s="71"/>
      <c r="AH82" s="599">
        <v>0</v>
      </c>
      <c r="AI82" s="120">
        <f t="shared" si="17"/>
        <v>0</v>
      </c>
      <c r="AJ82" s="120">
        <f t="shared" si="18"/>
        <v>0</v>
      </c>
      <c r="AK82" s="120">
        <f t="shared" si="19"/>
        <v>0</v>
      </c>
      <c r="AL82" s="120">
        <f t="shared" si="20"/>
        <v>0</v>
      </c>
      <c r="AM82" s="134"/>
    </row>
    <row r="83" spans="2:39" s="113" customFormat="1" x14ac:dyDescent="0.2">
      <c r="B83" s="133"/>
      <c r="C83" s="150"/>
      <c r="D83" s="50">
        <v>69</v>
      </c>
      <c r="E83" s="1100" t="str">
        <f>+'Li O school'!E83</f>
        <v>school 69</v>
      </c>
      <c r="F83" s="1100" t="str">
        <f>+'Li O school'!F83</f>
        <v>11AA</v>
      </c>
      <c r="G83" s="925">
        <v>0</v>
      </c>
      <c r="H83" s="925">
        <v>0</v>
      </c>
      <c r="I83" s="119">
        <f t="shared" si="33"/>
        <v>0</v>
      </c>
      <c r="J83" s="119">
        <f t="shared" si="33"/>
        <v>0</v>
      </c>
      <c r="K83" s="119">
        <f t="shared" si="35"/>
        <v>0</v>
      </c>
      <c r="L83" s="119">
        <f t="shared" si="36"/>
        <v>0</v>
      </c>
      <c r="M83" s="71"/>
      <c r="N83" s="68">
        <f>ROUND(G83*tab!E$39,2)</f>
        <v>0</v>
      </c>
      <c r="O83" s="68">
        <f>ROUND(H83*tab!F$39,2)</f>
        <v>0</v>
      </c>
      <c r="P83" s="68">
        <f>ROUND(I83*tab!G$39,2)</f>
        <v>0</v>
      </c>
      <c r="Q83" s="68">
        <f>ROUND(J83*tab!H$39,2)</f>
        <v>0</v>
      </c>
      <c r="R83" s="68">
        <f>ROUND(K83*tab!I$39,2)</f>
        <v>0</v>
      </c>
      <c r="S83" s="68">
        <f>ROUND(L83*tab!J$39,2)</f>
        <v>0</v>
      </c>
      <c r="T83" s="71"/>
      <c r="U83" s="153">
        <v>0</v>
      </c>
      <c r="V83" s="120">
        <f t="shared" si="34"/>
        <v>0</v>
      </c>
      <c r="W83" s="120">
        <f t="shared" si="34"/>
        <v>0</v>
      </c>
      <c r="X83" s="120">
        <f t="shared" si="34"/>
        <v>0</v>
      </c>
      <c r="Y83" s="120">
        <f t="shared" si="37"/>
        <v>0</v>
      </c>
      <c r="Z83" s="120">
        <f t="shared" si="38"/>
        <v>0</v>
      </c>
      <c r="AA83" s="71"/>
      <c r="AB83" s="68">
        <f>+H83*tab!F$42</f>
        <v>0</v>
      </c>
      <c r="AC83" s="68">
        <f>+I83*tab!G$42</f>
        <v>0</v>
      </c>
      <c r="AD83" s="68">
        <f>+J83*tab!H$42</f>
        <v>0</v>
      </c>
      <c r="AE83" s="68">
        <f>+K83*tab!I$42</f>
        <v>0</v>
      </c>
      <c r="AF83" s="68">
        <f>+L83*tab!J$42</f>
        <v>0</v>
      </c>
      <c r="AG83" s="71"/>
      <c r="AH83" s="599">
        <v>0</v>
      </c>
      <c r="AI83" s="120">
        <f t="shared" ref="AI83:AI139" si="39">AH83</f>
        <v>0</v>
      </c>
      <c r="AJ83" s="120">
        <f t="shared" ref="AJ83:AJ139" si="40">AI83</f>
        <v>0</v>
      </c>
      <c r="AK83" s="120">
        <f t="shared" ref="AK83:AK139" si="41">AJ83</f>
        <v>0</v>
      </c>
      <c r="AL83" s="120">
        <f t="shared" ref="AL83:AL139" si="42">AK83</f>
        <v>0</v>
      </c>
      <c r="AM83" s="134"/>
    </row>
    <row r="84" spans="2:39" s="113" customFormat="1" x14ac:dyDescent="0.2">
      <c r="B84" s="133"/>
      <c r="C84" s="150"/>
      <c r="D84" s="50">
        <v>70</v>
      </c>
      <c r="E84" s="1100" t="str">
        <f>+'Li O school'!E84</f>
        <v>school 70</v>
      </c>
      <c r="F84" s="1100" t="str">
        <f>+'Li O school'!F84</f>
        <v>11AA</v>
      </c>
      <c r="G84" s="925">
        <v>0</v>
      </c>
      <c r="H84" s="925">
        <v>0</v>
      </c>
      <c r="I84" s="119">
        <f t="shared" si="33"/>
        <v>0</v>
      </c>
      <c r="J84" s="119">
        <f t="shared" si="33"/>
        <v>0</v>
      </c>
      <c r="K84" s="119">
        <f t="shared" si="35"/>
        <v>0</v>
      </c>
      <c r="L84" s="119">
        <f t="shared" si="36"/>
        <v>0</v>
      </c>
      <c r="M84" s="71"/>
      <c r="N84" s="68">
        <f>ROUND(G84*tab!E$39,2)</f>
        <v>0</v>
      </c>
      <c r="O84" s="68">
        <f>ROUND(H84*tab!F$39,2)</f>
        <v>0</v>
      </c>
      <c r="P84" s="68">
        <f>ROUND(I84*tab!G$39,2)</f>
        <v>0</v>
      </c>
      <c r="Q84" s="68">
        <f>ROUND(J84*tab!H$39,2)</f>
        <v>0</v>
      </c>
      <c r="R84" s="68">
        <f>ROUND(K84*tab!I$39,2)</f>
        <v>0</v>
      </c>
      <c r="S84" s="68">
        <f>ROUND(L84*tab!J$39,2)</f>
        <v>0</v>
      </c>
      <c r="T84" s="71"/>
      <c r="U84" s="153">
        <v>0</v>
      </c>
      <c r="V84" s="120">
        <f t="shared" si="34"/>
        <v>0</v>
      </c>
      <c r="W84" s="120">
        <f t="shared" si="34"/>
        <v>0</v>
      </c>
      <c r="X84" s="120">
        <f t="shared" si="34"/>
        <v>0</v>
      </c>
      <c r="Y84" s="120">
        <f t="shared" si="37"/>
        <v>0</v>
      </c>
      <c r="Z84" s="120">
        <f t="shared" si="38"/>
        <v>0</v>
      </c>
      <c r="AA84" s="71"/>
      <c r="AB84" s="68">
        <f>+H84*tab!F$42</f>
        <v>0</v>
      </c>
      <c r="AC84" s="68">
        <f>+I84*tab!G$42</f>
        <v>0</v>
      </c>
      <c r="AD84" s="68">
        <f>+J84*tab!H$42</f>
        <v>0</v>
      </c>
      <c r="AE84" s="68">
        <f>+K84*tab!I$42</f>
        <v>0</v>
      </c>
      <c r="AF84" s="68">
        <f>+L84*tab!J$42</f>
        <v>0</v>
      </c>
      <c r="AG84" s="71"/>
      <c r="AH84" s="599">
        <v>0</v>
      </c>
      <c r="AI84" s="120">
        <f t="shared" si="39"/>
        <v>0</v>
      </c>
      <c r="AJ84" s="120">
        <f t="shared" si="40"/>
        <v>0</v>
      </c>
      <c r="AK84" s="120">
        <f t="shared" si="41"/>
        <v>0</v>
      </c>
      <c r="AL84" s="120">
        <f t="shared" si="42"/>
        <v>0</v>
      </c>
      <c r="AM84" s="134"/>
    </row>
    <row r="85" spans="2:39" s="113" customFormat="1" x14ac:dyDescent="0.2">
      <c r="B85" s="133"/>
      <c r="C85" s="150"/>
      <c r="D85" s="50">
        <v>71</v>
      </c>
      <c r="E85" s="1100" t="str">
        <f>+'Li O school'!E85</f>
        <v>school 71</v>
      </c>
      <c r="F85" s="1100" t="str">
        <f>+'Li O school'!F85</f>
        <v>11AA</v>
      </c>
      <c r="G85" s="925">
        <v>0</v>
      </c>
      <c r="H85" s="925">
        <v>0</v>
      </c>
      <c r="I85" s="119">
        <f t="shared" si="33"/>
        <v>0</v>
      </c>
      <c r="J85" s="119">
        <f t="shared" si="33"/>
        <v>0</v>
      </c>
      <c r="K85" s="119">
        <f t="shared" si="35"/>
        <v>0</v>
      </c>
      <c r="L85" s="119">
        <f t="shared" si="36"/>
        <v>0</v>
      </c>
      <c r="M85" s="71"/>
      <c r="N85" s="68">
        <f>ROUND(G85*tab!E$39,2)</f>
        <v>0</v>
      </c>
      <c r="O85" s="68">
        <f>ROUND(H85*tab!F$39,2)</f>
        <v>0</v>
      </c>
      <c r="P85" s="68">
        <f>ROUND(I85*tab!G$39,2)</f>
        <v>0</v>
      </c>
      <c r="Q85" s="68">
        <f>ROUND(J85*tab!H$39,2)</f>
        <v>0</v>
      </c>
      <c r="R85" s="68">
        <f>ROUND(K85*tab!I$39,2)</f>
        <v>0</v>
      </c>
      <c r="S85" s="68">
        <f>ROUND(L85*tab!J$39,2)</f>
        <v>0</v>
      </c>
      <c r="T85" s="71"/>
      <c r="U85" s="153">
        <v>0</v>
      </c>
      <c r="V85" s="120">
        <f t="shared" si="34"/>
        <v>0</v>
      </c>
      <c r="W85" s="120">
        <f t="shared" si="34"/>
        <v>0</v>
      </c>
      <c r="X85" s="120">
        <f t="shared" si="34"/>
        <v>0</v>
      </c>
      <c r="Y85" s="120">
        <f t="shared" si="37"/>
        <v>0</v>
      </c>
      <c r="Z85" s="120">
        <f t="shared" si="38"/>
        <v>0</v>
      </c>
      <c r="AA85" s="71"/>
      <c r="AB85" s="68">
        <f>+H85*tab!F$42</f>
        <v>0</v>
      </c>
      <c r="AC85" s="68">
        <f>+I85*tab!G$42</f>
        <v>0</v>
      </c>
      <c r="AD85" s="68">
        <f>+J85*tab!H$42</f>
        <v>0</v>
      </c>
      <c r="AE85" s="68">
        <f>+K85*tab!I$42</f>
        <v>0</v>
      </c>
      <c r="AF85" s="68">
        <f>+L85*tab!J$42</f>
        <v>0</v>
      </c>
      <c r="AG85" s="71"/>
      <c r="AH85" s="599">
        <v>0</v>
      </c>
      <c r="AI85" s="120">
        <f t="shared" si="39"/>
        <v>0</v>
      </c>
      <c r="AJ85" s="120">
        <f t="shared" si="40"/>
        <v>0</v>
      </c>
      <c r="AK85" s="120">
        <f t="shared" si="41"/>
        <v>0</v>
      </c>
      <c r="AL85" s="120">
        <f t="shared" si="42"/>
        <v>0</v>
      </c>
      <c r="AM85" s="134"/>
    </row>
    <row r="86" spans="2:39" s="113" customFormat="1" x14ac:dyDescent="0.2">
      <c r="B86" s="133"/>
      <c r="C86" s="150"/>
      <c r="D86" s="50">
        <v>72</v>
      </c>
      <c r="E86" s="1100" t="str">
        <f>+'Li O school'!E86</f>
        <v>school 72</v>
      </c>
      <c r="F86" s="1100" t="str">
        <f>+'Li O school'!F86</f>
        <v>11AA</v>
      </c>
      <c r="G86" s="925">
        <v>0</v>
      </c>
      <c r="H86" s="925">
        <v>0</v>
      </c>
      <c r="I86" s="119">
        <f t="shared" si="33"/>
        <v>0</v>
      </c>
      <c r="J86" s="119">
        <f t="shared" si="33"/>
        <v>0</v>
      </c>
      <c r="K86" s="119">
        <f t="shared" si="35"/>
        <v>0</v>
      </c>
      <c r="L86" s="119">
        <f t="shared" si="36"/>
        <v>0</v>
      </c>
      <c r="M86" s="71"/>
      <c r="N86" s="68">
        <f>ROUND(G86*tab!E$39,2)</f>
        <v>0</v>
      </c>
      <c r="O86" s="68">
        <f>ROUND(H86*tab!F$39,2)</f>
        <v>0</v>
      </c>
      <c r="P86" s="68">
        <f>ROUND(I86*tab!G$39,2)</f>
        <v>0</v>
      </c>
      <c r="Q86" s="68">
        <f>ROUND(J86*tab!H$39,2)</f>
        <v>0</v>
      </c>
      <c r="R86" s="68">
        <f>ROUND(K86*tab!I$39,2)</f>
        <v>0</v>
      </c>
      <c r="S86" s="68">
        <f>ROUND(L86*tab!J$39,2)</f>
        <v>0</v>
      </c>
      <c r="T86" s="71"/>
      <c r="U86" s="153">
        <v>0</v>
      </c>
      <c r="V86" s="120">
        <f t="shared" si="34"/>
        <v>0</v>
      </c>
      <c r="W86" s="120">
        <f t="shared" si="34"/>
        <v>0</v>
      </c>
      <c r="X86" s="120">
        <f t="shared" si="34"/>
        <v>0</v>
      </c>
      <c r="Y86" s="120">
        <f t="shared" si="37"/>
        <v>0</v>
      </c>
      <c r="Z86" s="120">
        <f t="shared" si="38"/>
        <v>0</v>
      </c>
      <c r="AA86" s="71"/>
      <c r="AB86" s="68">
        <f>+H86*tab!F$42</f>
        <v>0</v>
      </c>
      <c r="AC86" s="68">
        <f>+I86*tab!G$42</f>
        <v>0</v>
      </c>
      <c r="AD86" s="68">
        <f>+J86*tab!H$42</f>
        <v>0</v>
      </c>
      <c r="AE86" s="68">
        <f>+K86*tab!I$42</f>
        <v>0</v>
      </c>
      <c r="AF86" s="68">
        <f>+L86*tab!J$42</f>
        <v>0</v>
      </c>
      <c r="AG86" s="71"/>
      <c r="AH86" s="599">
        <v>0</v>
      </c>
      <c r="AI86" s="120">
        <f t="shared" si="39"/>
        <v>0</v>
      </c>
      <c r="AJ86" s="120">
        <f t="shared" si="40"/>
        <v>0</v>
      </c>
      <c r="AK86" s="120">
        <f t="shared" si="41"/>
        <v>0</v>
      </c>
      <c r="AL86" s="120">
        <f t="shared" si="42"/>
        <v>0</v>
      </c>
      <c r="AM86" s="134"/>
    </row>
    <row r="87" spans="2:39" s="113" customFormat="1" x14ac:dyDescent="0.2">
      <c r="B87" s="133"/>
      <c r="C87" s="150"/>
      <c r="D87" s="50">
        <v>73</v>
      </c>
      <c r="E87" s="1100" t="str">
        <f>+'Li O school'!E87</f>
        <v>school 73</v>
      </c>
      <c r="F87" s="1100" t="str">
        <f>+'Li O school'!F87</f>
        <v>11AA</v>
      </c>
      <c r="G87" s="925">
        <v>0</v>
      </c>
      <c r="H87" s="925">
        <v>0</v>
      </c>
      <c r="I87" s="119">
        <f t="shared" si="33"/>
        <v>0</v>
      </c>
      <c r="J87" s="119">
        <f t="shared" si="33"/>
        <v>0</v>
      </c>
      <c r="K87" s="119">
        <f t="shared" si="35"/>
        <v>0</v>
      </c>
      <c r="L87" s="119">
        <f t="shared" si="36"/>
        <v>0</v>
      </c>
      <c r="M87" s="71"/>
      <c r="N87" s="68">
        <f>ROUND(G87*tab!E$39,2)</f>
        <v>0</v>
      </c>
      <c r="O87" s="68">
        <f>ROUND(H87*tab!F$39,2)</f>
        <v>0</v>
      </c>
      <c r="P87" s="68">
        <f>ROUND(I87*tab!G$39,2)</f>
        <v>0</v>
      </c>
      <c r="Q87" s="68">
        <f>ROUND(J87*tab!H$39,2)</f>
        <v>0</v>
      </c>
      <c r="R87" s="68">
        <f>ROUND(K87*tab!I$39,2)</f>
        <v>0</v>
      </c>
      <c r="S87" s="68">
        <f>ROUND(L87*tab!J$39,2)</f>
        <v>0</v>
      </c>
      <c r="T87" s="71"/>
      <c r="U87" s="153">
        <v>0</v>
      </c>
      <c r="V87" s="120">
        <f t="shared" si="34"/>
        <v>0</v>
      </c>
      <c r="W87" s="120">
        <f t="shared" si="34"/>
        <v>0</v>
      </c>
      <c r="X87" s="120">
        <f t="shared" si="34"/>
        <v>0</v>
      </c>
      <c r="Y87" s="120">
        <f t="shared" si="37"/>
        <v>0</v>
      </c>
      <c r="Z87" s="120">
        <f t="shared" si="38"/>
        <v>0</v>
      </c>
      <c r="AA87" s="71"/>
      <c r="AB87" s="68">
        <f>+H87*tab!F$42</f>
        <v>0</v>
      </c>
      <c r="AC87" s="68">
        <f>+I87*tab!G$42</f>
        <v>0</v>
      </c>
      <c r="AD87" s="68">
        <f>+J87*tab!H$42</f>
        <v>0</v>
      </c>
      <c r="AE87" s="68">
        <f>+K87*tab!I$42</f>
        <v>0</v>
      </c>
      <c r="AF87" s="68">
        <f>+L87*tab!J$42</f>
        <v>0</v>
      </c>
      <c r="AG87" s="71"/>
      <c r="AH87" s="599">
        <v>0</v>
      </c>
      <c r="AI87" s="120">
        <f t="shared" si="39"/>
        <v>0</v>
      </c>
      <c r="AJ87" s="120">
        <f t="shared" si="40"/>
        <v>0</v>
      </c>
      <c r="AK87" s="120">
        <f t="shared" si="41"/>
        <v>0</v>
      </c>
      <c r="AL87" s="120">
        <f t="shared" si="42"/>
        <v>0</v>
      </c>
      <c r="AM87" s="134"/>
    </row>
    <row r="88" spans="2:39" s="113" customFormat="1" x14ac:dyDescent="0.2">
      <c r="B88" s="133"/>
      <c r="C88" s="150"/>
      <c r="D88" s="50">
        <v>74</v>
      </c>
      <c r="E88" s="1100" t="str">
        <f>+'Li O school'!E88</f>
        <v>school 74</v>
      </c>
      <c r="F88" s="1100" t="str">
        <f>+'Li O school'!F88</f>
        <v>11AA</v>
      </c>
      <c r="G88" s="925">
        <v>0</v>
      </c>
      <c r="H88" s="925">
        <v>0</v>
      </c>
      <c r="I88" s="119">
        <f t="shared" si="33"/>
        <v>0</v>
      </c>
      <c r="J88" s="119">
        <f t="shared" si="33"/>
        <v>0</v>
      </c>
      <c r="K88" s="119">
        <f t="shared" si="35"/>
        <v>0</v>
      </c>
      <c r="L88" s="119">
        <f t="shared" si="36"/>
        <v>0</v>
      </c>
      <c r="M88" s="71"/>
      <c r="N88" s="68">
        <f>ROUND(G88*tab!E$39,2)</f>
        <v>0</v>
      </c>
      <c r="O88" s="68">
        <f>ROUND(H88*tab!F$39,2)</f>
        <v>0</v>
      </c>
      <c r="P88" s="68">
        <f>ROUND(I88*tab!G$39,2)</f>
        <v>0</v>
      </c>
      <c r="Q88" s="68">
        <f>ROUND(J88*tab!H$39,2)</f>
        <v>0</v>
      </c>
      <c r="R88" s="68">
        <f>ROUND(K88*tab!I$39,2)</f>
        <v>0</v>
      </c>
      <c r="S88" s="68">
        <f>ROUND(L88*tab!J$39,2)</f>
        <v>0</v>
      </c>
      <c r="T88" s="71"/>
      <c r="U88" s="153">
        <v>0</v>
      </c>
      <c r="V88" s="120">
        <f t="shared" si="34"/>
        <v>0</v>
      </c>
      <c r="W88" s="120">
        <f t="shared" si="34"/>
        <v>0</v>
      </c>
      <c r="X88" s="120">
        <f t="shared" si="34"/>
        <v>0</v>
      </c>
      <c r="Y88" s="120">
        <f t="shared" si="37"/>
        <v>0</v>
      </c>
      <c r="Z88" s="120">
        <f t="shared" si="38"/>
        <v>0</v>
      </c>
      <c r="AA88" s="71"/>
      <c r="AB88" s="68">
        <f>+H88*tab!F$42</f>
        <v>0</v>
      </c>
      <c r="AC88" s="68">
        <f>+I88*tab!G$42</f>
        <v>0</v>
      </c>
      <c r="AD88" s="68">
        <f>+J88*tab!H$42</f>
        <v>0</v>
      </c>
      <c r="AE88" s="68">
        <f>+K88*tab!I$42</f>
        <v>0</v>
      </c>
      <c r="AF88" s="68">
        <f>+L88*tab!J$42</f>
        <v>0</v>
      </c>
      <c r="AG88" s="71"/>
      <c r="AH88" s="599">
        <v>0</v>
      </c>
      <c r="AI88" s="120">
        <f t="shared" si="39"/>
        <v>0</v>
      </c>
      <c r="AJ88" s="120">
        <f t="shared" si="40"/>
        <v>0</v>
      </c>
      <c r="AK88" s="120">
        <f t="shared" si="41"/>
        <v>0</v>
      </c>
      <c r="AL88" s="120">
        <f t="shared" si="42"/>
        <v>0</v>
      </c>
      <c r="AM88" s="134"/>
    </row>
    <row r="89" spans="2:39" s="113" customFormat="1" x14ac:dyDescent="0.2">
      <c r="B89" s="133"/>
      <c r="C89" s="150"/>
      <c r="D89" s="50">
        <v>75</v>
      </c>
      <c r="E89" s="1100" t="str">
        <f>+'Li O school'!E89</f>
        <v>school 75</v>
      </c>
      <c r="F89" s="1100" t="str">
        <f>+'Li O school'!F89</f>
        <v>11AA</v>
      </c>
      <c r="G89" s="925">
        <v>0</v>
      </c>
      <c r="H89" s="925">
        <v>0</v>
      </c>
      <c r="I89" s="119">
        <f t="shared" si="33"/>
        <v>0</v>
      </c>
      <c r="J89" s="119">
        <f t="shared" si="33"/>
        <v>0</v>
      </c>
      <c r="K89" s="119">
        <f t="shared" si="35"/>
        <v>0</v>
      </c>
      <c r="L89" s="119">
        <f t="shared" si="36"/>
        <v>0</v>
      </c>
      <c r="M89" s="71"/>
      <c r="N89" s="68">
        <f>ROUND(G89*tab!E$39,2)</f>
        <v>0</v>
      </c>
      <c r="O89" s="68">
        <f>ROUND(H89*tab!F$39,2)</f>
        <v>0</v>
      </c>
      <c r="P89" s="68">
        <f>ROUND(I89*tab!G$39,2)</f>
        <v>0</v>
      </c>
      <c r="Q89" s="68">
        <f>ROUND(J89*tab!H$39,2)</f>
        <v>0</v>
      </c>
      <c r="R89" s="68">
        <f>ROUND(K89*tab!I$39,2)</f>
        <v>0</v>
      </c>
      <c r="S89" s="68">
        <f>ROUND(L89*tab!J$39,2)</f>
        <v>0</v>
      </c>
      <c r="T89" s="71"/>
      <c r="U89" s="153">
        <v>0</v>
      </c>
      <c r="V89" s="120">
        <f t="shared" si="34"/>
        <v>0</v>
      </c>
      <c r="W89" s="120">
        <f t="shared" si="34"/>
        <v>0</v>
      </c>
      <c r="X89" s="120">
        <f t="shared" si="34"/>
        <v>0</v>
      </c>
      <c r="Y89" s="120">
        <f t="shared" si="37"/>
        <v>0</v>
      </c>
      <c r="Z89" s="120">
        <f t="shared" si="38"/>
        <v>0</v>
      </c>
      <c r="AA89" s="71"/>
      <c r="AB89" s="68">
        <f>+H89*tab!F$42</f>
        <v>0</v>
      </c>
      <c r="AC89" s="68">
        <f>+I89*tab!G$42</f>
        <v>0</v>
      </c>
      <c r="AD89" s="68">
        <f>+J89*tab!H$42</f>
        <v>0</v>
      </c>
      <c r="AE89" s="68">
        <f>+K89*tab!I$42</f>
        <v>0</v>
      </c>
      <c r="AF89" s="68">
        <f>+L89*tab!J$42</f>
        <v>0</v>
      </c>
      <c r="AG89" s="71"/>
      <c r="AH89" s="599">
        <v>0</v>
      </c>
      <c r="AI89" s="120">
        <f t="shared" si="39"/>
        <v>0</v>
      </c>
      <c r="AJ89" s="120">
        <f t="shared" si="40"/>
        <v>0</v>
      </c>
      <c r="AK89" s="120">
        <f t="shared" si="41"/>
        <v>0</v>
      </c>
      <c r="AL89" s="120">
        <f t="shared" si="42"/>
        <v>0</v>
      </c>
      <c r="AM89" s="134"/>
    </row>
    <row r="90" spans="2:39" s="113" customFormat="1" x14ac:dyDescent="0.2">
      <c r="B90" s="133"/>
      <c r="C90" s="150"/>
      <c r="D90" s="50">
        <v>76</v>
      </c>
      <c r="E90" s="1100" t="str">
        <f>+'Li O school'!E90</f>
        <v>school 76</v>
      </c>
      <c r="F90" s="1100" t="str">
        <f>+'Li O school'!F90</f>
        <v>11AA</v>
      </c>
      <c r="G90" s="925">
        <v>0</v>
      </c>
      <c r="H90" s="925">
        <v>0</v>
      </c>
      <c r="I90" s="119">
        <f t="shared" si="33"/>
        <v>0</v>
      </c>
      <c r="J90" s="119">
        <f t="shared" si="33"/>
        <v>0</v>
      </c>
      <c r="K90" s="119">
        <f t="shared" si="35"/>
        <v>0</v>
      </c>
      <c r="L90" s="119">
        <f t="shared" si="36"/>
        <v>0</v>
      </c>
      <c r="M90" s="71"/>
      <c r="N90" s="68">
        <f>ROUND(G90*tab!E$39,2)</f>
        <v>0</v>
      </c>
      <c r="O90" s="68">
        <f>ROUND(H90*tab!F$39,2)</f>
        <v>0</v>
      </c>
      <c r="P90" s="68">
        <f>ROUND(I90*tab!G$39,2)</f>
        <v>0</v>
      </c>
      <c r="Q90" s="68">
        <f>ROUND(J90*tab!H$39,2)</f>
        <v>0</v>
      </c>
      <c r="R90" s="68">
        <f>ROUND(K90*tab!I$39,2)</f>
        <v>0</v>
      </c>
      <c r="S90" s="68">
        <f>ROUND(L90*tab!J$39,2)</f>
        <v>0</v>
      </c>
      <c r="T90" s="71"/>
      <c r="U90" s="153">
        <v>0</v>
      </c>
      <c r="V90" s="120">
        <f t="shared" si="34"/>
        <v>0</v>
      </c>
      <c r="W90" s="120">
        <f t="shared" si="34"/>
        <v>0</v>
      </c>
      <c r="X90" s="120">
        <f t="shared" si="34"/>
        <v>0</v>
      </c>
      <c r="Y90" s="120">
        <f t="shared" si="37"/>
        <v>0</v>
      </c>
      <c r="Z90" s="120">
        <f t="shared" si="38"/>
        <v>0</v>
      </c>
      <c r="AA90" s="71"/>
      <c r="AB90" s="68">
        <f>+H90*tab!F$42</f>
        <v>0</v>
      </c>
      <c r="AC90" s="68">
        <f>+I90*tab!G$42</f>
        <v>0</v>
      </c>
      <c r="AD90" s="68">
        <f>+J90*tab!H$42</f>
        <v>0</v>
      </c>
      <c r="AE90" s="68">
        <f>+K90*tab!I$42</f>
        <v>0</v>
      </c>
      <c r="AF90" s="68">
        <f>+L90*tab!J$42</f>
        <v>0</v>
      </c>
      <c r="AG90" s="71"/>
      <c r="AH90" s="599">
        <v>0</v>
      </c>
      <c r="AI90" s="120">
        <f t="shared" si="39"/>
        <v>0</v>
      </c>
      <c r="AJ90" s="120">
        <f t="shared" si="40"/>
        <v>0</v>
      </c>
      <c r="AK90" s="120">
        <f t="shared" si="41"/>
        <v>0</v>
      </c>
      <c r="AL90" s="120">
        <f t="shared" si="42"/>
        <v>0</v>
      </c>
      <c r="AM90" s="134"/>
    </row>
    <row r="91" spans="2:39" s="113" customFormat="1" x14ac:dyDescent="0.2">
      <c r="B91" s="133"/>
      <c r="C91" s="150"/>
      <c r="D91" s="50">
        <v>77</v>
      </c>
      <c r="E91" s="1100" t="str">
        <f>+'Li O school'!E91</f>
        <v>school 77</v>
      </c>
      <c r="F91" s="1100" t="str">
        <f>+'Li O school'!F91</f>
        <v>11AA</v>
      </c>
      <c r="G91" s="925">
        <v>0</v>
      </c>
      <c r="H91" s="925">
        <v>0</v>
      </c>
      <c r="I91" s="119">
        <f t="shared" si="33"/>
        <v>0</v>
      </c>
      <c r="J91" s="119">
        <f t="shared" si="33"/>
        <v>0</v>
      </c>
      <c r="K91" s="119">
        <f t="shared" si="35"/>
        <v>0</v>
      </c>
      <c r="L91" s="119">
        <f t="shared" si="36"/>
        <v>0</v>
      </c>
      <c r="M91" s="71"/>
      <c r="N91" s="68">
        <f>ROUND(G91*tab!E$39,2)</f>
        <v>0</v>
      </c>
      <c r="O91" s="68">
        <f>ROUND(H91*tab!F$39,2)</f>
        <v>0</v>
      </c>
      <c r="P91" s="68">
        <f>ROUND(I91*tab!G$39,2)</f>
        <v>0</v>
      </c>
      <c r="Q91" s="68">
        <f>ROUND(J91*tab!H$39,2)</f>
        <v>0</v>
      </c>
      <c r="R91" s="68">
        <f>ROUND(K91*tab!I$39,2)</f>
        <v>0</v>
      </c>
      <c r="S91" s="68">
        <f>ROUND(L91*tab!J$39,2)</f>
        <v>0</v>
      </c>
      <c r="T91" s="71"/>
      <c r="U91" s="153">
        <v>0</v>
      </c>
      <c r="V91" s="120">
        <f t="shared" si="34"/>
        <v>0</v>
      </c>
      <c r="W91" s="120">
        <f t="shared" si="34"/>
        <v>0</v>
      </c>
      <c r="X91" s="120">
        <f t="shared" si="34"/>
        <v>0</v>
      </c>
      <c r="Y91" s="120">
        <f t="shared" si="37"/>
        <v>0</v>
      </c>
      <c r="Z91" s="120">
        <f t="shared" si="38"/>
        <v>0</v>
      </c>
      <c r="AA91" s="71"/>
      <c r="AB91" s="68">
        <f>+H91*tab!F$42</f>
        <v>0</v>
      </c>
      <c r="AC91" s="68">
        <f>+I91*tab!G$42</f>
        <v>0</v>
      </c>
      <c r="AD91" s="68">
        <f>+J91*tab!H$42</f>
        <v>0</v>
      </c>
      <c r="AE91" s="68">
        <f>+K91*tab!I$42</f>
        <v>0</v>
      </c>
      <c r="AF91" s="68">
        <f>+L91*tab!J$42</f>
        <v>0</v>
      </c>
      <c r="AG91" s="71"/>
      <c r="AH91" s="599">
        <v>0</v>
      </c>
      <c r="AI91" s="120">
        <f t="shared" si="39"/>
        <v>0</v>
      </c>
      <c r="AJ91" s="120">
        <f t="shared" si="40"/>
        <v>0</v>
      </c>
      <c r="AK91" s="120">
        <f t="shared" si="41"/>
        <v>0</v>
      </c>
      <c r="AL91" s="120">
        <f t="shared" si="42"/>
        <v>0</v>
      </c>
      <c r="AM91" s="134"/>
    </row>
    <row r="92" spans="2:39" s="113" customFormat="1" x14ac:dyDescent="0.2">
      <c r="B92" s="133"/>
      <c r="C92" s="150"/>
      <c r="D92" s="50">
        <v>78</v>
      </c>
      <c r="E92" s="1100" t="str">
        <f>+'Li O school'!E92</f>
        <v>school 78</v>
      </c>
      <c r="F92" s="1100" t="str">
        <f>+'Li O school'!F92</f>
        <v>11AA</v>
      </c>
      <c r="G92" s="925">
        <v>0</v>
      </c>
      <c r="H92" s="925">
        <v>0</v>
      </c>
      <c r="I92" s="119">
        <f t="shared" si="33"/>
        <v>0</v>
      </c>
      <c r="J92" s="119">
        <f t="shared" si="33"/>
        <v>0</v>
      </c>
      <c r="K92" s="119">
        <f t="shared" si="35"/>
        <v>0</v>
      </c>
      <c r="L92" s="119">
        <f t="shared" si="36"/>
        <v>0</v>
      </c>
      <c r="M92" s="71"/>
      <c r="N92" s="68">
        <f>ROUND(G92*tab!E$39,2)</f>
        <v>0</v>
      </c>
      <c r="O92" s="68">
        <f>ROUND(H92*tab!F$39,2)</f>
        <v>0</v>
      </c>
      <c r="P92" s="68">
        <f>ROUND(I92*tab!G$39,2)</f>
        <v>0</v>
      </c>
      <c r="Q92" s="68">
        <f>ROUND(J92*tab!H$39,2)</f>
        <v>0</v>
      </c>
      <c r="R92" s="68">
        <f>ROUND(K92*tab!I$39,2)</f>
        <v>0</v>
      </c>
      <c r="S92" s="68">
        <f>ROUND(L92*tab!J$39,2)</f>
        <v>0</v>
      </c>
      <c r="T92" s="71"/>
      <c r="U92" s="153">
        <v>0</v>
      </c>
      <c r="V92" s="120">
        <f t="shared" si="34"/>
        <v>0</v>
      </c>
      <c r="W92" s="120">
        <f t="shared" si="34"/>
        <v>0</v>
      </c>
      <c r="X92" s="120">
        <f t="shared" si="34"/>
        <v>0</v>
      </c>
      <c r="Y92" s="120">
        <f t="shared" si="37"/>
        <v>0</v>
      </c>
      <c r="Z92" s="120">
        <f t="shared" si="38"/>
        <v>0</v>
      </c>
      <c r="AA92" s="71"/>
      <c r="AB92" s="68">
        <f>+H92*tab!F$42</f>
        <v>0</v>
      </c>
      <c r="AC92" s="68">
        <f>+I92*tab!G$42</f>
        <v>0</v>
      </c>
      <c r="AD92" s="68">
        <f>+J92*tab!H$42</f>
        <v>0</v>
      </c>
      <c r="AE92" s="68">
        <f>+K92*tab!I$42</f>
        <v>0</v>
      </c>
      <c r="AF92" s="68">
        <f>+L92*tab!J$42</f>
        <v>0</v>
      </c>
      <c r="AG92" s="71"/>
      <c r="AH92" s="599">
        <v>0</v>
      </c>
      <c r="AI92" s="120">
        <f t="shared" si="39"/>
        <v>0</v>
      </c>
      <c r="AJ92" s="120">
        <f t="shared" si="40"/>
        <v>0</v>
      </c>
      <c r="AK92" s="120">
        <f t="shared" si="41"/>
        <v>0</v>
      </c>
      <c r="AL92" s="120">
        <f t="shared" si="42"/>
        <v>0</v>
      </c>
      <c r="AM92" s="134"/>
    </row>
    <row r="93" spans="2:39" s="113" customFormat="1" x14ac:dyDescent="0.2">
      <c r="B93" s="133"/>
      <c r="C93" s="150"/>
      <c r="D93" s="50">
        <v>79</v>
      </c>
      <c r="E93" s="1100" t="str">
        <f>+'Li O school'!E93</f>
        <v>school 79</v>
      </c>
      <c r="F93" s="1100" t="str">
        <f>+'Li O school'!F93</f>
        <v>11AA</v>
      </c>
      <c r="G93" s="925">
        <v>0</v>
      </c>
      <c r="H93" s="925">
        <v>0</v>
      </c>
      <c r="I93" s="119">
        <f t="shared" si="33"/>
        <v>0</v>
      </c>
      <c r="J93" s="119">
        <f t="shared" si="33"/>
        <v>0</v>
      </c>
      <c r="K93" s="119">
        <f t="shared" si="35"/>
        <v>0</v>
      </c>
      <c r="L93" s="119">
        <f t="shared" si="36"/>
        <v>0</v>
      </c>
      <c r="M93" s="71"/>
      <c r="N93" s="68">
        <f>ROUND(G93*tab!E$39,2)</f>
        <v>0</v>
      </c>
      <c r="O93" s="68">
        <f>ROUND(H93*tab!F$39,2)</f>
        <v>0</v>
      </c>
      <c r="P93" s="68">
        <f>ROUND(I93*tab!G$39,2)</f>
        <v>0</v>
      </c>
      <c r="Q93" s="68">
        <f>ROUND(J93*tab!H$39,2)</f>
        <v>0</v>
      </c>
      <c r="R93" s="68">
        <f>ROUND(K93*tab!I$39,2)</f>
        <v>0</v>
      </c>
      <c r="S93" s="68">
        <f>ROUND(L93*tab!J$39,2)</f>
        <v>0</v>
      </c>
      <c r="T93" s="71"/>
      <c r="U93" s="153">
        <v>0</v>
      </c>
      <c r="V93" s="120">
        <f t="shared" si="34"/>
        <v>0</v>
      </c>
      <c r="W93" s="120">
        <f t="shared" si="34"/>
        <v>0</v>
      </c>
      <c r="X93" s="120">
        <f t="shared" si="34"/>
        <v>0</v>
      </c>
      <c r="Y93" s="120">
        <f t="shared" si="37"/>
        <v>0</v>
      </c>
      <c r="Z93" s="120">
        <f t="shared" si="38"/>
        <v>0</v>
      </c>
      <c r="AA93" s="71"/>
      <c r="AB93" s="68">
        <f>+H93*tab!F$42</f>
        <v>0</v>
      </c>
      <c r="AC93" s="68">
        <f>+I93*tab!G$42</f>
        <v>0</v>
      </c>
      <c r="AD93" s="68">
        <f>+J93*tab!H$42</f>
        <v>0</v>
      </c>
      <c r="AE93" s="68">
        <f>+K93*tab!I$42</f>
        <v>0</v>
      </c>
      <c r="AF93" s="68">
        <f>+L93*tab!J$42</f>
        <v>0</v>
      </c>
      <c r="AG93" s="71"/>
      <c r="AH93" s="599">
        <v>0</v>
      </c>
      <c r="AI93" s="120">
        <f t="shared" si="39"/>
        <v>0</v>
      </c>
      <c r="AJ93" s="120">
        <f t="shared" si="40"/>
        <v>0</v>
      </c>
      <c r="AK93" s="120">
        <f t="shared" si="41"/>
        <v>0</v>
      </c>
      <c r="AL93" s="120">
        <f t="shared" si="42"/>
        <v>0</v>
      </c>
      <c r="AM93" s="134"/>
    </row>
    <row r="94" spans="2:39" s="113" customFormat="1" x14ac:dyDescent="0.2">
      <c r="B94" s="133"/>
      <c r="C94" s="150"/>
      <c r="D94" s="50">
        <v>80</v>
      </c>
      <c r="E94" s="1100" t="str">
        <f>+'Li O school'!E94</f>
        <v>school 80</v>
      </c>
      <c r="F94" s="1100" t="str">
        <f>+'Li O school'!F94</f>
        <v>11AA</v>
      </c>
      <c r="G94" s="925">
        <v>0</v>
      </c>
      <c r="H94" s="925">
        <v>0</v>
      </c>
      <c r="I94" s="119">
        <f t="shared" si="33"/>
        <v>0</v>
      </c>
      <c r="J94" s="119">
        <f t="shared" si="33"/>
        <v>0</v>
      </c>
      <c r="K94" s="119">
        <f t="shared" si="35"/>
        <v>0</v>
      </c>
      <c r="L94" s="119">
        <f t="shared" si="36"/>
        <v>0</v>
      </c>
      <c r="M94" s="71"/>
      <c r="N94" s="68">
        <f>ROUND(G94*tab!E$39,2)</f>
        <v>0</v>
      </c>
      <c r="O94" s="68">
        <f>ROUND(H94*tab!F$39,2)</f>
        <v>0</v>
      </c>
      <c r="P94" s="68">
        <f>ROUND(I94*tab!G$39,2)</f>
        <v>0</v>
      </c>
      <c r="Q94" s="68">
        <f>ROUND(J94*tab!H$39,2)</f>
        <v>0</v>
      </c>
      <c r="R94" s="68">
        <f>ROUND(K94*tab!I$39,2)</f>
        <v>0</v>
      </c>
      <c r="S94" s="68">
        <f>ROUND(L94*tab!J$39,2)</f>
        <v>0</v>
      </c>
      <c r="T94" s="71"/>
      <c r="U94" s="153">
        <v>0</v>
      </c>
      <c r="V94" s="120">
        <f t="shared" si="34"/>
        <v>0</v>
      </c>
      <c r="W94" s="120">
        <f t="shared" si="34"/>
        <v>0</v>
      </c>
      <c r="X94" s="120">
        <f t="shared" si="34"/>
        <v>0</v>
      </c>
      <c r="Y94" s="120">
        <f t="shared" si="37"/>
        <v>0</v>
      </c>
      <c r="Z94" s="120">
        <f t="shared" si="38"/>
        <v>0</v>
      </c>
      <c r="AA94" s="71"/>
      <c r="AB94" s="68">
        <f>+H94*tab!F$42</f>
        <v>0</v>
      </c>
      <c r="AC94" s="68">
        <f>+I94*tab!G$42</f>
        <v>0</v>
      </c>
      <c r="AD94" s="68">
        <f>+J94*tab!H$42</f>
        <v>0</v>
      </c>
      <c r="AE94" s="68">
        <f>+K94*tab!I$42</f>
        <v>0</v>
      </c>
      <c r="AF94" s="68">
        <f>+L94*tab!J$42</f>
        <v>0</v>
      </c>
      <c r="AG94" s="71"/>
      <c r="AH94" s="599">
        <v>0</v>
      </c>
      <c r="AI94" s="120">
        <f t="shared" si="39"/>
        <v>0</v>
      </c>
      <c r="AJ94" s="120">
        <f t="shared" si="40"/>
        <v>0</v>
      </c>
      <c r="AK94" s="120">
        <f t="shared" si="41"/>
        <v>0</v>
      </c>
      <c r="AL94" s="120">
        <f t="shared" si="42"/>
        <v>0</v>
      </c>
      <c r="AM94" s="134"/>
    </row>
    <row r="95" spans="2:39" s="113" customFormat="1" x14ac:dyDescent="0.2">
      <c r="B95" s="133"/>
      <c r="C95" s="150"/>
      <c r="D95" s="50">
        <v>81</v>
      </c>
      <c r="E95" s="1100" t="str">
        <f>+'Li O school'!E95</f>
        <v>school 81</v>
      </c>
      <c r="F95" s="1100" t="str">
        <f>+'Li O school'!F95</f>
        <v>11AA</v>
      </c>
      <c r="G95" s="925">
        <v>0</v>
      </c>
      <c r="H95" s="925">
        <v>0</v>
      </c>
      <c r="I95" s="119">
        <f t="shared" ref="I95:J114" si="43">H95</f>
        <v>0</v>
      </c>
      <c r="J95" s="119">
        <f t="shared" si="43"/>
        <v>0</v>
      </c>
      <c r="K95" s="119">
        <f t="shared" si="35"/>
        <v>0</v>
      </c>
      <c r="L95" s="119">
        <f t="shared" si="36"/>
        <v>0</v>
      </c>
      <c r="M95" s="71"/>
      <c r="N95" s="68">
        <f>ROUND(G95*tab!E$39,2)</f>
        <v>0</v>
      </c>
      <c r="O95" s="68">
        <f>ROUND(H95*tab!F$39,2)</f>
        <v>0</v>
      </c>
      <c r="P95" s="68">
        <f>ROUND(I95*tab!G$39,2)</f>
        <v>0</v>
      </c>
      <c r="Q95" s="68">
        <f>ROUND(J95*tab!H$39,2)</f>
        <v>0</v>
      </c>
      <c r="R95" s="68">
        <f>ROUND(K95*tab!I$39,2)</f>
        <v>0</v>
      </c>
      <c r="S95" s="68">
        <f>ROUND(L95*tab!J$39,2)</f>
        <v>0</v>
      </c>
      <c r="T95" s="71"/>
      <c r="U95" s="153">
        <v>0</v>
      </c>
      <c r="V95" s="120">
        <f t="shared" ref="V95:X114" si="44">U95</f>
        <v>0</v>
      </c>
      <c r="W95" s="120">
        <f t="shared" si="44"/>
        <v>0</v>
      </c>
      <c r="X95" s="120">
        <f t="shared" si="44"/>
        <v>0</v>
      </c>
      <c r="Y95" s="120">
        <f t="shared" si="37"/>
        <v>0</v>
      </c>
      <c r="Z95" s="120">
        <f t="shared" si="38"/>
        <v>0</v>
      </c>
      <c r="AA95" s="71"/>
      <c r="AB95" s="68">
        <f>+H95*tab!F$42</f>
        <v>0</v>
      </c>
      <c r="AC95" s="68">
        <f>+I95*tab!G$42</f>
        <v>0</v>
      </c>
      <c r="AD95" s="68">
        <f>+J95*tab!H$42</f>
        <v>0</v>
      </c>
      <c r="AE95" s="68">
        <f>+K95*tab!I$42</f>
        <v>0</v>
      </c>
      <c r="AF95" s="68">
        <f>+L95*tab!J$42</f>
        <v>0</v>
      </c>
      <c r="AG95" s="71"/>
      <c r="AH95" s="599">
        <v>0</v>
      </c>
      <c r="AI95" s="120">
        <f t="shared" si="39"/>
        <v>0</v>
      </c>
      <c r="AJ95" s="120">
        <f t="shared" si="40"/>
        <v>0</v>
      </c>
      <c r="AK95" s="120">
        <f t="shared" si="41"/>
        <v>0</v>
      </c>
      <c r="AL95" s="120">
        <f t="shared" si="42"/>
        <v>0</v>
      </c>
      <c r="AM95" s="134"/>
    </row>
    <row r="96" spans="2:39" s="113" customFormat="1" x14ac:dyDescent="0.2">
      <c r="B96" s="133"/>
      <c r="C96" s="150"/>
      <c r="D96" s="50">
        <v>82</v>
      </c>
      <c r="E96" s="1100" t="str">
        <f>+'Li O school'!E96</f>
        <v>school 82</v>
      </c>
      <c r="F96" s="1100" t="str">
        <f>+'Li O school'!F96</f>
        <v>11AA</v>
      </c>
      <c r="G96" s="925">
        <v>0</v>
      </c>
      <c r="H96" s="925">
        <v>0</v>
      </c>
      <c r="I96" s="119">
        <f t="shared" si="43"/>
        <v>0</v>
      </c>
      <c r="J96" s="119">
        <f t="shared" si="43"/>
        <v>0</v>
      </c>
      <c r="K96" s="119">
        <f t="shared" si="35"/>
        <v>0</v>
      </c>
      <c r="L96" s="119">
        <f t="shared" si="36"/>
        <v>0</v>
      </c>
      <c r="M96" s="71"/>
      <c r="N96" s="68">
        <f>ROUND(G96*tab!E$39,2)</f>
        <v>0</v>
      </c>
      <c r="O96" s="68">
        <f>ROUND(H96*tab!F$39,2)</f>
        <v>0</v>
      </c>
      <c r="P96" s="68">
        <f>ROUND(I96*tab!G$39,2)</f>
        <v>0</v>
      </c>
      <c r="Q96" s="68">
        <f>ROUND(J96*tab!H$39,2)</f>
        <v>0</v>
      </c>
      <c r="R96" s="68">
        <f>ROUND(K96*tab!I$39,2)</f>
        <v>0</v>
      </c>
      <c r="S96" s="68">
        <f>ROUND(L96*tab!J$39,2)</f>
        <v>0</v>
      </c>
      <c r="T96" s="71"/>
      <c r="U96" s="153">
        <v>0</v>
      </c>
      <c r="V96" s="120">
        <f t="shared" si="44"/>
        <v>0</v>
      </c>
      <c r="W96" s="120">
        <f t="shared" si="44"/>
        <v>0</v>
      </c>
      <c r="X96" s="120">
        <f t="shared" si="44"/>
        <v>0</v>
      </c>
      <c r="Y96" s="120">
        <f t="shared" si="37"/>
        <v>0</v>
      </c>
      <c r="Z96" s="120">
        <f t="shared" si="38"/>
        <v>0</v>
      </c>
      <c r="AA96" s="71"/>
      <c r="AB96" s="68">
        <f>+H96*tab!F$42</f>
        <v>0</v>
      </c>
      <c r="AC96" s="68">
        <f>+I96*tab!G$42</f>
        <v>0</v>
      </c>
      <c r="AD96" s="68">
        <f>+J96*tab!H$42</f>
        <v>0</v>
      </c>
      <c r="AE96" s="68">
        <f>+K96*tab!I$42</f>
        <v>0</v>
      </c>
      <c r="AF96" s="68">
        <f>+L96*tab!J$42</f>
        <v>0</v>
      </c>
      <c r="AG96" s="71"/>
      <c r="AH96" s="599">
        <v>0</v>
      </c>
      <c r="AI96" s="120">
        <f t="shared" si="39"/>
        <v>0</v>
      </c>
      <c r="AJ96" s="120">
        <f t="shared" si="40"/>
        <v>0</v>
      </c>
      <c r="AK96" s="120">
        <f t="shared" si="41"/>
        <v>0</v>
      </c>
      <c r="AL96" s="120">
        <f t="shared" si="42"/>
        <v>0</v>
      </c>
      <c r="AM96" s="134"/>
    </row>
    <row r="97" spans="2:39" s="113" customFormat="1" x14ac:dyDescent="0.2">
      <c r="B97" s="133"/>
      <c r="C97" s="150"/>
      <c r="D97" s="50">
        <v>83</v>
      </c>
      <c r="E97" s="1100" t="str">
        <f>+'Li O school'!E97</f>
        <v>school 83</v>
      </c>
      <c r="F97" s="1100" t="str">
        <f>+'Li O school'!F97</f>
        <v>11AA</v>
      </c>
      <c r="G97" s="925">
        <v>0</v>
      </c>
      <c r="H97" s="925">
        <v>0</v>
      </c>
      <c r="I97" s="119">
        <f t="shared" si="43"/>
        <v>0</v>
      </c>
      <c r="J97" s="119">
        <f t="shared" si="43"/>
        <v>0</v>
      </c>
      <c r="K97" s="119">
        <f t="shared" si="35"/>
        <v>0</v>
      </c>
      <c r="L97" s="119">
        <f t="shared" si="36"/>
        <v>0</v>
      </c>
      <c r="M97" s="71"/>
      <c r="N97" s="68">
        <f>ROUND(G97*tab!E$39,2)</f>
        <v>0</v>
      </c>
      <c r="O97" s="68">
        <f>ROUND(H97*tab!F$39,2)</f>
        <v>0</v>
      </c>
      <c r="P97" s="68">
        <f>ROUND(I97*tab!G$39,2)</f>
        <v>0</v>
      </c>
      <c r="Q97" s="68">
        <f>ROUND(J97*tab!H$39,2)</f>
        <v>0</v>
      </c>
      <c r="R97" s="68">
        <f>ROUND(K97*tab!I$39,2)</f>
        <v>0</v>
      </c>
      <c r="S97" s="68">
        <f>ROUND(L97*tab!J$39,2)</f>
        <v>0</v>
      </c>
      <c r="T97" s="71"/>
      <c r="U97" s="153">
        <v>0</v>
      </c>
      <c r="V97" s="120">
        <f t="shared" si="44"/>
        <v>0</v>
      </c>
      <c r="W97" s="120">
        <f t="shared" si="44"/>
        <v>0</v>
      </c>
      <c r="X97" s="120">
        <f t="shared" si="44"/>
        <v>0</v>
      </c>
      <c r="Y97" s="120">
        <f t="shared" si="37"/>
        <v>0</v>
      </c>
      <c r="Z97" s="120">
        <f t="shared" si="38"/>
        <v>0</v>
      </c>
      <c r="AA97" s="71"/>
      <c r="AB97" s="68">
        <f>+H97*tab!F$42</f>
        <v>0</v>
      </c>
      <c r="AC97" s="68">
        <f>+I97*tab!G$42</f>
        <v>0</v>
      </c>
      <c r="AD97" s="68">
        <f>+J97*tab!H$42</f>
        <v>0</v>
      </c>
      <c r="AE97" s="68">
        <f>+K97*tab!I$42</f>
        <v>0</v>
      </c>
      <c r="AF97" s="68">
        <f>+L97*tab!J$42</f>
        <v>0</v>
      </c>
      <c r="AG97" s="71"/>
      <c r="AH97" s="599">
        <v>0</v>
      </c>
      <c r="AI97" s="120">
        <f t="shared" si="39"/>
        <v>0</v>
      </c>
      <c r="AJ97" s="120">
        <f t="shared" si="40"/>
        <v>0</v>
      </c>
      <c r="AK97" s="120">
        <f t="shared" si="41"/>
        <v>0</v>
      </c>
      <c r="AL97" s="120">
        <f t="shared" si="42"/>
        <v>0</v>
      </c>
      <c r="AM97" s="134"/>
    </row>
    <row r="98" spans="2:39" s="113" customFormat="1" x14ac:dyDescent="0.2">
      <c r="B98" s="133"/>
      <c r="C98" s="150"/>
      <c r="D98" s="50">
        <v>84</v>
      </c>
      <c r="E98" s="1100" t="str">
        <f>+'Li O school'!E98</f>
        <v>school 84</v>
      </c>
      <c r="F98" s="1100" t="str">
        <f>+'Li O school'!F98</f>
        <v>11AA</v>
      </c>
      <c r="G98" s="925">
        <v>0</v>
      </c>
      <c r="H98" s="925">
        <v>0</v>
      </c>
      <c r="I98" s="119">
        <f t="shared" si="43"/>
        <v>0</v>
      </c>
      <c r="J98" s="119">
        <f t="shared" si="43"/>
        <v>0</v>
      </c>
      <c r="K98" s="119">
        <f t="shared" si="35"/>
        <v>0</v>
      </c>
      <c r="L98" s="119">
        <f t="shared" si="36"/>
        <v>0</v>
      </c>
      <c r="M98" s="71"/>
      <c r="N98" s="68">
        <f>ROUND(G98*tab!E$39,2)</f>
        <v>0</v>
      </c>
      <c r="O98" s="68">
        <f>ROUND(H98*tab!F$39,2)</f>
        <v>0</v>
      </c>
      <c r="P98" s="68">
        <f>ROUND(I98*tab!G$39,2)</f>
        <v>0</v>
      </c>
      <c r="Q98" s="68">
        <f>ROUND(J98*tab!H$39,2)</f>
        <v>0</v>
      </c>
      <c r="R98" s="68">
        <f>ROUND(K98*tab!I$39,2)</f>
        <v>0</v>
      </c>
      <c r="S98" s="68">
        <f>ROUND(L98*tab!J$39,2)</f>
        <v>0</v>
      </c>
      <c r="T98" s="71"/>
      <c r="U98" s="153">
        <v>0</v>
      </c>
      <c r="V98" s="120">
        <f t="shared" si="44"/>
        <v>0</v>
      </c>
      <c r="W98" s="120">
        <f t="shared" si="44"/>
        <v>0</v>
      </c>
      <c r="X98" s="120">
        <f t="shared" si="44"/>
        <v>0</v>
      </c>
      <c r="Y98" s="120">
        <f t="shared" si="37"/>
        <v>0</v>
      </c>
      <c r="Z98" s="120">
        <f t="shared" si="38"/>
        <v>0</v>
      </c>
      <c r="AA98" s="71"/>
      <c r="AB98" s="68">
        <f>+H98*tab!F$42</f>
        <v>0</v>
      </c>
      <c r="AC98" s="68">
        <f>+I98*tab!G$42</f>
        <v>0</v>
      </c>
      <c r="AD98" s="68">
        <f>+J98*tab!H$42</f>
        <v>0</v>
      </c>
      <c r="AE98" s="68">
        <f>+K98*tab!I$42</f>
        <v>0</v>
      </c>
      <c r="AF98" s="68">
        <f>+L98*tab!J$42</f>
        <v>0</v>
      </c>
      <c r="AG98" s="71"/>
      <c r="AH98" s="599">
        <v>0</v>
      </c>
      <c r="AI98" s="120">
        <f t="shared" si="39"/>
        <v>0</v>
      </c>
      <c r="AJ98" s="120">
        <f t="shared" si="40"/>
        <v>0</v>
      </c>
      <c r="AK98" s="120">
        <f t="shared" si="41"/>
        <v>0</v>
      </c>
      <c r="AL98" s="120">
        <f t="shared" si="42"/>
        <v>0</v>
      </c>
      <c r="AM98" s="134"/>
    </row>
    <row r="99" spans="2:39" s="113" customFormat="1" x14ac:dyDescent="0.2">
      <c r="B99" s="133"/>
      <c r="C99" s="150"/>
      <c r="D99" s="50">
        <v>85</v>
      </c>
      <c r="E99" s="1100" t="str">
        <f>+'Li O school'!E99</f>
        <v>school 85</v>
      </c>
      <c r="F99" s="1100" t="str">
        <f>+'Li O school'!F99</f>
        <v>11AA</v>
      </c>
      <c r="G99" s="925">
        <v>0</v>
      </c>
      <c r="H99" s="925">
        <v>0</v>
      </c>
      <c r="I99" s="119">
        <f t="shared" si="43"/>
        <v>0</v>
      </c>
      <c r="J99" s="119">
        <f t="shared" si="43"/>
        <v>0</v>
      </c>
      <c r="K99" s="119">
        <f t="shared" si="35"/>
        <v>0</v>
      </c>
      <c r="L99" s="119">
        <f t="shared" si="36"/>
        <v>0</v>
      </c>
      <c r="M99" s="71"/>
      <c r="N99" s="68">
        <f>ROUND(G99*tab!E$39,2)</f>
        <v>0</v>
      </c>
      <c r="O99" s="68">
        <f>ROUND(H99*tab!F$39,2)</f>
        <v>0</v>
      </c>
      <c r="P99" s="68">
        <f>ROUND(I99*tab!G$39,2)</f>
        <v>0</v>
      </c>
      <c r="Q99" s="68">
        <f>ROUND(J99*tab!H$39,2)</f>
        <v>0</v>
      </c>
      <c r="R99" s="68">
        <f>ROUND(K99*tab!I$39,2)</f>
        <v>0</v>
      </c>
      <c r="S99" s="68">
        <f>ROUND(L99*tab!J$39,2)</f>
        <v>0</v>
      </c>
      <c r="T99" s="71"/>
      <c r="U99" s="153">
        <v>0</v>
      </c>
      <c r="V99" s="120">
        <f t="shared" si="44"/>
        <v>0</v>
      </c>
      <c r="W99" s="120">
        <f t="shared" si="44"/>
        <v>0</v>
      </c>
      <c r="X99" s="120">
        <f t="shared" si="44"/>
        <v>0</v>
      </c>
      <c r="Y99" s="120">
        <f t="shared" si="37"/>
        <v>0</v>
      </c>
      <c r="Z99" s="120">
        <f t="shared" si="38"/>
        <v>0</v>
      </c>
      <c r="AA99" s="71"/>
      <c r="AB99" s="68">
        <f>+H99*tab!F$42</f>
        <v>0</v>
      </c>
      <c r="AC99" s="68">
        <f>+I99*tab!G$42</f>
        <v>0</v>
      </c>
      <c r="AD99" s="68">
        <f>+J99*tab!H$42</f>
        <v>0</v>
      </c>
      <c r="AE99" s="68">
        <f>+K99*tab!I$42</f>
        <v>0</v>
      </c>
      <c r="AF99" s="68">
        <f>+L99*tab!J$42</f>
        <v>0</v>
      </c>
      <c r="AG99" s="71"/>
      <c r="AH99" s="599">
        <v>0</v>
      </c>
      <c r="AI99" s="120">
        <f t="shared" si="39"/>
        <v>0</v>
      </c>
      <c r="AJ99" s="120">
        <f t="shared" si="40"/>
        <v>0</v>
      </c>
      <c r="AK99" s="120">
        <f t="shared" si="41"/>
        <v>0</v>
      </c>
      <c r="AL99" s="120">
        <f t="shared" si="42"/>
        <v>0</v>
      </c>
      <c r="AM99" s="134"/>
    </row>
    <row r="100" spans="2:39" s="113" customFormat="1" x14ac:dyDescent="0.2">
      <c r="B100" s="133"/>
      <c r="C100" s="150"/>
      <c r="D100" s="50">
        <v>86</v>
      </c>
      <c r="E100" s="1100" t="str">
        <f>+'Li O school'!E100</f>
        <v>school 86</v>
      </c>
      <c r="F100" s="1100" t="str">
        <f>+'Li O school'!F100</f>
        <v>11AA</v>
      </c>
      <c r="G100" s="925">
        <v>0</v>
      </c>
      <c r="H100" s="925">
        <v>0</v>
      </c>
      <c r="I100" s="119">
        <f t="shared" si="43"/>
        <v>0</v>
      </c>
      <c r="J100" s="119">
        <f t="shared" si="43"/>
        <v>0</v>
      </c>
      <c r="K100" s="119">
        <f t="shared" si="35"/>
        <v>0</v>
      </c>
      <c r="L100" s="119">
        <f t="shared" si="36"/>
        <v>0</v>
      </c>
      <c r="M100" s="71"/>
      <c r="N100" s="68">
        <f>ROUND(G100*tab!E$39,2)</f>
        <v>0</v>
      </c>
      <c r="O100" s="68">
        <f>ROUND(H100*tab!F$39,2)</f>
        <v>0</v>
      </c>
      <c r="P100" s="68">
        <f>ROUND(I100*tab!G$39,2)</f>
        <v>0</v>
      </c>
      <c r="Q100" s="68">
        <f>ROUND(J100*tab!H$39,2)</f>
        <v>0</v>
      </c>
      <c r="R100" s="68">
        <f>ROUND(K100*tab!I$39,2)</f>
        <v>0</v>
      </c>
      <c r="S100" s="68">
        <f>ROUND(L100*tab!J$39,2)</f>
        <v>0</v>
      </c>
      <c r="T100" s="71"/>
      <c r="U100" s="153">
        <v>0</v>
      </c>
      <c r="V100" s="120">
        <f t="shared" si="44"/>
        <v>0</v>
      </c>
      <c r="W100" s="120">
        <f t="shared" si="44"/>
        <v>0</v>
      </c>
      <c r="X100" s="120">
        <f t="shared" si="44"/>
        <v>0</v>
      </c>
      <c r="Y100" s="120">
        <f t="shared" si="37"/>
        <v>0</v>
      </c>
      <c r="Z100" s="120">
        <f t="shared" si="38"/>
        <v>0</v>
      </c>
      <c r="AA100" s="71"/>
      <c r="AB100" s="68">
        <f>+H100*tab!F$42</f>
        <v>0</v>
      </c>
      <c r="AC100" s="68">
        <f>+I100*tab!G$42</f>
        <v>0</v>
      </c>
      <c r="AD100" s="68">
        <f>+J100*tab!H$42</f>
        <v>0</v>
      </c>
      <c r="AE100" s="68">
        <f>+K100*tab!I$42</f>
        <v>0</v>
      </c>
      <c r="AF100" s="68">
        <f>+L100*tab!J$42</f>
        <v>0</v>
      </c>
      <c r="AG100" s="71"/>
      <c r="AH100" s="599">
        <v>0</v>
      </c>
      <c r="AI100" s="120">
        <f t="shared" si="39"/>
        <v>0</v>
      </c>
      <c r="AJ100" s="120">
        <f t="shared" si="40"/>
        <v>0</v>
      </c>
      <c r="AK100" s="120">
        <f t="shared" si="41"/>
        <v>0</v>
      </c>
      <c r="AL100" s="120">
        <f t="shared" si="42"/>
        <v>0</v>
      </c>
      <c r="AM100" s="134"/>
    </row>
    <row r="101" spans="2:39" s="113" customFormat="1" x14ac:dyDescent="0.2">
      <c r="B101" s="133"/>
      <c r="C101" s="150"/>
      <c r="D101" s="50">
        <v>87</v>
      </c>
      <c r="E101" s="1100" t="str">
        <f>+'Li O school'!E101</f>
        <v>school 87</v>
      </c>
      <c r="F101" s="1100" t="str">
        <f>+'Li O school'!F101</f>
        <v>11AA</v>
      </c>
      <c r="G101" s="925">
        <v>0</v>
      </c>
      <c r="H101" s="925">
        <v>0</v>
      </c>
      <c r="I101" s="119">
        <f t="shared" si="43"/>
        <v>0</v>
      </c>
      <c r="J101" s="119">
        <f t="shared" si="43"/>
        <v>0</v>
      </c>
      <c r="K101" s="119">
        <f t="shared" si="35"/>
        <v>0</v>
      </c>
      <c r="L101" s="119">
        <f t="shared" si="36"/>
        <v>0</v>
      </c>
      <c r="M101" s="71"/>
      <c r="N101" s="68">
        <f>ROUND(G101*tab!E$39,2)</f>
        <v>0</v>
      </c>
      <c r="O101" s="68">
        <f>ROUND(H101*tab!F$39,2)</f>
        <v>0</v>
      </c>
      <c r="P101" s="68">
        <f>ROUND(I101*tab!G$39,2)</f>
        <v>0</v>
      </c>
      <c r="Q101" s="68">
        <f>ROUND(J101*tab!H$39,2)</f>
        <v>0</v>
      </c>
      <c r="R101" s="68">
        <f>ROUND(K101*tab!I$39,2)</f>
        <v>0</v>
      </c>
      <c r="S101" s="68">
        <f>ROUND(L101*tab!J$39,2)</f>
        <v>0</v>
      </c>
      <c r="T101" s="71"/>
      <c r="U101" s="153">
        <v>0</v>
      </c>
      <c r="V101" s="120">
        <f t="shared" si="44"/>
        <v>0</v>
      </c>
      <c r="W101" s="120">
        <f t="shared" si="44"/>
        <v>0</v>
      </c>
      <c r="X101" s="120">
        <f t="shared" si="44"/>
        <v>0</v>
      </c>
      <c r="Y101" s="120">
        <f t="shared" si="37"/>
        <v>0</v>
      </c>
      <c r="Z101" s="120">
        <f t="shared" si="38"/>
        <v>0</v>
      </c>
      <c r="AA101" s="71"/>
      <c r="AB101" s="68">
        <f>+H101*tab!F$42</f>
        <v>0</v>
      </c>
      <c r="AC101" s="68">
        <f>+I101*tab!G$42</f>
        <v>0</v>
      </c>
      <c r="AD101" s="68">
        <f>+J101*tab!H$42</f>
        <v>0</v>
      </c>
      <c r="AE101" s="68">
        <f>+K101*tab!I$42</f>
        <v>0</v>
      </c>
      <c r="AF101" s="68">
        <f>+L101*tab!J$42</f>
        <v>0</v>
      </c>
      <c r="AG101" s="71"/>
      <c r="AH101" s="599">
        <v>0</v>
      </c>
      <c r="AI101" s="120">
        <f t="shared" si="39"/>
        <v>0</v>
      </c>
      <c r="AJ101" s="120">
        <f t="shared" si="40"/>
        <v>0</v>
      </c>
      <c r="AK101" s="120">
        <f t="shared" si="41"/>
        <v>0</v>
      </c>
      <c r="AL101" s="120">
        <f t="shared" si="42"/>
        <v>0</v>
      </c>
      <c r="AM101" s="134"/>
    </row>
    <row r="102" spans="2:39" s="113" customFormat="1" x14ac:dyDescent="0.2">
      <c r="B102" s="133"/>
      <c r="C102" s="150"/>
      <c r="D102" s="50">
        <v>88</v>
      </c>
      <c r="E102" s="1100" t="str">
        <f>+'Li O school'!E102</f>
        <v>school 88</v>
      </c>
      <c r="F102" s="1100" t="str">
        <f>+'Li O school'!F102</f>
        <v>11AA</v>
      </c>
      <c r="G102" s="925">
        <v>0</v>
      </c>
      <c r="H102" s="925">
        <v>0</v>
      </c>
      <c r="I102" s="119">
        <f t="shared" si="43"/>
        <v>0</v>
      </c>
      <c r="J102" s="119">
        <f t="shared" si="43"/>
        <v>0</v>
      </c>
      <c r="K102" s="119">
        <f t="shared" si="35"/>
        <v>0</v>
      </c>
      <c r="L102" s="119">
        <f t="shared" si="36"/>
        <v>0</v>
      </c>
      <c r="M102" s="71"/>
      <c r="N102" s="68">
        <f>ROUND(G102*tab!E$39,2)</f>
        <v>0</v>
      </c>
      <c r="O102" s="68">
        <f>ROUND(H102*tab!F$39,2)</f>
        <v>0</v>
      </c>
      <c r="P102" s="68">
        <f>ROUND(I102*tab!G$39,2)</f>
        <v>0</v>
      </c>
      <c r="Q102" s="68">
        <f>ROUND(J102*tab!H$39,2)</f>
        <v>0</v>
      </c>
      <c r="R102" s="68">
        <f>ROUND(K102*tab!I$39,2)</f>
        <v>0</v>
      </c>
      <c r="S102" s="68">
        <f>ROUND(L102*tab!J$39,2)</f>
        <v>0</v>
      </c>
      <c r="T102" s="71"/>
      <c r="U102" s="153">
        <v>0</v>
      </c>
      <c r="V102" s="120">
        <f t="shared" si="44"/>
        <v>0</v>
      </c>
      <c r="W102" s="120">
        <f t="shared" si="44"/>
        <v>0</v>
      </c>
      <c r="X102" s="120">
        <f t="shared" si="44"/>
        <v>0</v>
      </c>
      <c r="Y102" s="120">
        <f t="shared" si="37"/>
        <v>0</v>
      </c>
      <c r="Z102" s="120">
        <f t="shared" si="38"/>
        <v>0</v>
      </c>
      <c r="AA102" s="71"/>
      <c r="AB102" s="68">
        <f>+H102*tab!F$42</f>
        <v>0</v>
      </c>
      <c r="AC102" s="68">
        <f>+I102*tab!G$42</f>
        <v>0</v>
      </c>
      <c r="AD102" s="68">
        <f>+J102*tab!H$42</f>
        <v>0</v>
      </c>
      <c r="AE102" s="68">
        <f>+K102*tab!I$42</f>
        <v>0</v>
      </c>
      <c r="AF102" s="68">
        <f>+L102*tab!J$42</f>
        <v>0</v>
      </c>
      <c r="AG102" s="71"/>
      <c r="AH102" s="599">
        <v>0</v>
      </c>
      <c r="AI102" s="120">
        <f t="shared" si="39"/>
        <v>0</v>
      </c>
      <c r="AJ102" s="120">
        <f t="shared" si="40"/>
        <v>0</v>
      </c>
      <c r="AK102" s="120">
        <f t="shared" si="41"/>
        <v>0</v>
      </c>
      <c r="AL102" s="120">
        <f t="shared" si="42"/>
        <v>0</v>
      </c>
      <c r="AM102" s="134"/>
    </row>
    <row r="103" spans="2:39" s="113" customFormat="1" x14ac:dyDescent="0.2">
      <c r="B103" s="133"/>
      <c r="C103" s="150"/>
      <c r="D103" s="50">
        <v>89</v>
      </c>
      <c r="E103" s="1100" t="str">
        <f>+'Li O school'!E103</f>
        <v>school 89</v>
      </c>
      <c r="F103" s="1100" t="str">
        <f>+'Li O school'!F103</f>
        <v>11AA</v>
      </c>
      <c r="G103" s="925">
        <v>0</v>
      </c>
      <c r="H103" s="925">
        <v>0</v>
      </c>
      <c r="I103" s="119">
        <f t="shared" si="43"/>
        <v>0</v>
      </c>
      <c r="J103" s="119">
        <f t="shared" si="43"/>
        <v>0</v>
      </c>
      <c r="K103" s="119">
        <f t="shared" si="35"/>
        <v>0</v>
      </c>
      <c r="L103" s="119">
        <f t="shared" si="36"/>
        <v>0</v>
      </c>
      <c r="M103" s="71"/>
      <c r="N103" s="68">
        <f>ROUND(G103*tab!E$39,2)</f>
        <v>0</v>
      </c>
      <c r="O103" s="68">
        <f>ROUND(H103*tab!F$39,2)</f>
        <v>0</v>
      </c>
      <c r="P103" s="68">
        <f>ROUND(I103*tab!G$39,2)</f>
        <v>0</v>
      </c>
      <c r="Q103" s="68">
        <f>ROUND(J103*tab!H$39,2)</f>
        <v>0</v>
      </c>
      <c r="R103" s="68">
        <f>ROUND(K103*tab!I$39,2)</f>
        <v>0</v>
      </c>
      <c r="S103" s="68">
        <f>ROUND(L103*tab!J$39,2)</f>
        <v>0</v>
      </c>
      <c r="T103" s="71"/>
      <c r="U103" s="153">
        <v>0</v>
      </c>
      <c r="V103" s="120">
        <f t="shared" si="44"/>
        <v>0</v>
      </c>
      <c r="W103" s="120">
        <f t="shared" si="44"/>
        <v>0</v>
      </c>
      <c r="X103" s="120">
        <f t="shared" si="44"/>
        <v>0</v>
      </c>
      <c r="Y103" s="120">
        <f t="shared" si="37"/>
        <v>0</v>
      </c>
      <c r="Z103" s="120">
        <f t="shared" si="38"/>
        <v>0</v>
      </c>
      <c r="AA103" s="71"/>
      <c r="AB103" s="68">
        <f>+H103*tab!F$42</f>
        <v>0</v>
      </c>
      <c r="AC103" s="68">
        <f>+I103*tab!G$42</f>
        <v>0</v>
      </c>
      <c r="AD103" s="68">
        <f>+J103*tab!H$42</f>
        <v>0</v>
      </c>
      <c r="AE103" s="68">
        <f>+K103*tab!I$42</f>
        <v>0</v>
      </c>
      <c r="AF103" s="68">
        <f>+L103*tab!J$42</f>
        <v>0</v>
      </c>
      <c r="AG103" s="71"/>
      <c r="AH103" s="599">
        <v>0</v>
      </c>
      <c r="AI103" s="120">
        <f t="shared" si="39"/>
        <v>0</v>
      </c>
      <c r="AJ103" s="120">
        <f t="shared" si="40"/>
        <v>0</v>
      </c>
      <c r="AK103" s="120">
        <f t="shared" si="41"/>
        <v>0</v>
      </c>
      <c r="AL103" s="120">
        <f t="shared" si="42"/>
        <v>0</v>
      </c>
      <c r="AM103" s="134"/>
    </row>
    <row r="104" spans="2:39" s="113" customFormat="1" x14ac:dyDescent="0.2">
      <c r="B104" s="133"/>
      <c r="C104" s="150"/>
      <c r="D104" s="50">
        <v>90</v>
      </c>
      <c r="E104" s="1100" t="str">
        <f>+'Li O school'!E104</f>
        <v>school 90</v>
      </c>
      <c r="F104" s="1100" t="str">
        <f>+'Li O school'!F104</f>
        <v>11AA</v>
      </c>
      <c r="G104" s="925">
        <v>0</v>
      </c>
      <c r="H104" s="925">
        <v>0</v>
      </c>
      <c r="I104" s="119">
        <f t="shared" si="43"/>
        <v>0</v>
      </c>
      <c r="J104" s="119">
        <f t="shared" si="43"/>
        <v>0</v>
      </c>
      <c r="K104" s="119">
        <f t="shared" si="35"/>
        <v>0</v>
      </c>
      <c r="L104" s="119">
        <f t="shared" si="36"/>
        <v>0</v>
      </c>
      <c r="M104" s="71"/>
      <c r="N104" s="68">
        <f>ROUND(G104*tab!E$39,2)</f>
        <v>0</v>
      </c>
      <c r="O104" s="68">
        <f>ROUND(H104*tab!F$39,2)</f>
        <v>0</v>
      </c>
      <c r="P104" s="68">
        <f>ROUND(I104*tab!G$39,2)</f>
        <v>0</v>
      </c>
      <c r="Q104" s="68">
        <f>ROUND(J104*tab!H$39,2)</f>
        <v>0</v>
      </c>
      <c r="R104" s="68">
        <f>ROUND(K104*tab!I$39,2)</f>
        <v>0</v>
      </c>
      <c r="S104" s="68">
        <f>ROUND(L104*tab!J$39,2)</f>
        <v>0</v>
      </c>
      <c r="T104" s="71"/>
      <c r="U104" s="153">
        <v>0</v>
      </c>
      <c r="V104" s="120">
        <f t="shared" si="44"/>
        <v>0</v>
      </c>
      <c r="W104" s="120">
        <f t="shared" si="44"/>
        <v>0</v>
      </c>
      <c r="X104" s="120">
        <f t="shared" si="44"/>
        <v>0</v>
      </c>
      <c r="Y104" s="120">
        <f t="shared" si="37"/>
        <v>0</v>
      </c>
      <c r="Z104" s="120">
        <f t="shared" si="38"/>
        <v>0</v>
      </c>
      <c r="AA104" s="71"/>
      <c r="AB104" s="68">
        <f>+H104*tab!F$42</f>
        <v>0</v>
      </c>
      <c r="AC104" s="68">
        <f>+I104*tab!G$42</f>
        <v>0</v>
      </c>
      <c r="AD104" s="68">
        <f>+J104*tab!H$42</f>
        <v>0</v>
      </c>
      <c r="AE104" s="68">
        <f>+K104*tab!I$42</f>
        <v>0</v>
      </c>
      <c r="AF104" s="68">
        <f>+L104*tab!J$42</f>
        <v>0</v>
      </c>
      <c r="AG104" s="71"/>
      <c r="AH104" s="599">
        <v>0</v>
      </c>
      <c r="AI104" s="120">
        <f t="shared" si="39"/>
        <v>0</v>
      </c>
      <c r="AJ104" s="120">
        <f t="shared" si="40"/>
        <v>0</v>
      </c>
      <c r="AK104" s="120">
        <f t="shared" si="41"/>
        <v>0</v>
      </c>
      <c r="AL104" s="120">
        <f t="shared" si="42"/>
        <v>0</v>
      </c>
      <c r="AM104" s="134"/>
    </row>
    <row r="105" spans="2:39" s="113" customFormat="1" x14ac:dyDescent="0.2">
      <c r="B105" s="133"/>
      <c r="C105" s="150"/>
      <c r="D105" s="50">
        <v>91</v>
      </c>
      <c r="E105" s="1100" t="str">
        <f>+'Li O school'!E105</f>
        <v>school 91</v>
      </c>
      <c r="F105" s="1100" t="str">
        <f>+'Li O school'!F105</f>
        <v>11AA</v>
      </c>
      <c r="G105" s="925">
        <v>0</v>
      </c>
      <c r="H105" s="925">
        <v>0</v>
      </c>
      <c r="I105" s="119">
        <f t="shared" si="43"/>
        <v>0</v>
      </c>
      <c r="J105" s="119">
        <f t="shared" si="43"/>
        <v>0</v>
      </c>
      <c r="K105" s="119">
        <f t="shared" si="35"/>
        <v>0</v>
      </c>
      <c r="L105" s="119">
        <f t="shared" si="36"/>
        <v>0</v>
      </c>
      <c r="M105" s="71"/>
      <c r="N105" s="68">
        <f>ROUND(G105*tab!E$39,2)</f>
        <v>0</v>
      </c>
      <c r="O105" s="68">
        <f>ROUND(H105*tab!F$39,2)</f>
        <v>0</v>
      </c>
      <c r="P105" s="68">
        <f>ROUND(I105*tab!G$39,2)</f>
        <v>0</v>
      </c>
      <c r="Q105" s="68">
        <f>ROUND(J105*tab!H$39,2)</f>
        <v>0</v>
      </c>
      <c r="R105" s="68">
        <f>ROUND(K105*tab!I$39,2)</f>
        <v>0</v>
      </c>
      <c r="S105" s="68">
        <f>ROUND(L105*tab!J$39,2)</f>
        <v>0</v>
      </c>
      <c r="T105" s="71"/>
      <c r="U105" s="153">
        <v>0</v>
      </c>
      <c r="V105" s="120">
        <f t="shared" si="44"/>
        <v>0</v>
      </c>
      <c r="W105" s="120">
        <f t="shared" si="44"/>
        <v>0</v>
      </c>
      <c r="X105" s="120">
        <f t="shared" si="44"/>
        <v>0</v>
      </c>
      <c r="Y105" s="120">
        <f t="shared" si="37"/>
        <v>0</v>
      </c>
      <c r="Z105" s="120">
        <f t="shared" si="38"/>
        <v>0</v>
      </c>
      <c r="AA105" s="71"/>
      <c r="AB105" s="68">
        <f>+H105*tab!F$42</f>
        <v>0</v>
      </c>
      <c r="AC105" s="68">
        <f>+I105*tab!G$42</f>
        <v>0</v>
      </c>
      <c r="AD105" s="68">
        <f>+J105*tab!H$42</f>
        <v>0</v>
      </c>
      <c r="AE105" s="68">
        <f>+K105*tab!I$42</f>
        <v>0</v>
      </c>
      <c r="AF105" s="68">
        <f>+L105*tab!J$42</f>
        <v>0</v>
      </c>
      <c r="AG105" s="71"/>
      <c r="AH105" s="599">
        <v>0</v>
      </c>
      <c r="AI105" s="120">
        <f t="shared" si="39"/>
        <v>0</v>
      </c>
      <c r="AJ105" s="120">
        <f t="shared" si="40"/>
        <v>0</v>
      </c>
      <c r="AK105" s="120">
        <f t="shared" si="41"/>
        <v>0</v>
      </c>
      <c r="AL105" s="120">
        <f t="shared" si="42"/>
        <v>0</v>
      </c>
      <c r="AM105" s="134"/>
    </row>
    <row r="106" spans="2:39" s="113" customFormat="1" x14ac:dyDescent="0.2">
      <c r="B106" s="133"/>
      <c r="C106" s="150"/>
      <c r="D106" s="50">
        <v>92</v>
      </c>
      <c r="E106" s="1100" t="str">
        <f>+'Li O school'!E106</f>
        <v>school 92</v>
      </c>
      <c r="F106" s="1100" t="str">
        <f>+'Li O school'!F106</f>
        <v>11AA</v>
      </c>
      <c r="G106" s="925">
        <v>0</v>
      </c>
      <c r="H106" s="925">
        <v>0</v>
      </c>
      <c r="I106" s="119">
        <f t="shared" si="43"/>
        <v>0</v>
      </c>
      <c r="J106" s="119">
        <f t="shared" si="43"/>
        <v>0</v>
      </c>
      <c r="K106" s="119">
        <f t="shared" si="35"/>
        <v>0</v>
      </c>
      <c r="L106" s="119">
        <f t="shared" si="36"/>
        <v>0</v>
      </c>
      <c r="M106" s="71"/>
      <c r="N106" s="68">
        <f>ROUND(G106*tab!E$39,2)</f>
        <v>0</v>
      </c>
      <c r="O106" s="68">
        <f>ROUND(H106*tab!F$39,2)</f>
        <v>0</v>
      </c>
      <c r="P106" s="68">
        <f>ROUND(I106*tab!G$39,2)</f>
        <v>0</v>
      </c>
      <c r="Q106" s="68">
        <f>ROUND(J106*tab!H$39,2)</f>
        <v>0</v>
      </c>
      <c r="R106" s="68">
        <f>ROUND(K106*tab!I$39,2)</f>
        <v>0</v>
      </c>
      <c r="S106" s="68">
        <f>ROUND(L106*tab!J$39,2)</f>
        <v>0</v>
      </c>
      <c r="T106" s="71"/>
      <c r="U106" s="153">
        <v>0</v>
      </c>
      <c r="V106" s="120">
        <f t="shared" si="44"/>
        <v>0</v>
      </c>
      <c r="W106" s="120">
        <f t="shared" si="44"/>
        <v>0</v>
      </c>
      <c r="X106" s="120">
        <f t="shared" si="44"/>
        <v>0</v>
      </c>
      <c r="Y106" s="120">
        <f t="shared" si="37"/>
        <v>0</v>
      </c>
      <c r="Z106" s="120">
        <f t="shared" si="38"/>
        <v>0</v>
      </c>
      <c r="AA106" s="71"/>
      <c r="AB106" s="68">
        <f>+H106*tab!F$42</f>
        <v>0</v>
      </c>
      <c r="AC106" s="68">
        <f>+I106*tab!G$42</f>
        <v>0</v>
      </c>
      <c r="AD106" s="68">
        <f>+J106*tab!H$42</f>
        <v>0</v>
      </c>
      <c r="AE106" s="68">
        <f>+K106*tab!I$42</f>
        <v>0</v>
      </c>
      <c r="AF106" s="68">
        <f>+L106*tab!J$42</f>
        <v>0</v>
      </c>
      <c r="AG106" s="71"/>
      <c r="AH106" s="599">
        <v>0</v>
      </c>
      <c r="AI106" s="120">
        <f t="shared" si="39"/>
        <v>0</v>
      </c>
      <c r="AJ106" s="120">
        <f t="shared" si="40"/>
        <v>0</v>
      </c>
      <c r="AK106" s="120">
        <f t="shared" si="41"/>
        <v>0</v>
      </c>
      <c r="AL106" s="120">
        <f t="shared" si="42"/>
        <v>0</v>
      </c>
      <c r="AM106" s="134"/>
    </row>
    <row r="107" spans="2:39" s="113" customFormat="1" x14ac:dyDescent="0.2">
      <c r="B107" s="133"/>
      <c r="C107" s="150"/>
      <c r="D107" s="50">
        <v>93</v>
      </c>
      <c r="E107" s="1100" t="str">
        <f>+'Li O school'!E107</f>
        <v>school 93</v>
      </c>
      <c r="F107" s="1100" t="str">
        <f>+'Li O school'!F107</f>
        <v>11AA</v>
      </c>
      <c r="G107" s="925">
        <v>0</v>
      </c>
      <c r="H107" s="925">
        <v>0</v>
      </c>
      <c r="I107" s="119">
        <f t="shared" si="43"/>
        <v>0</v>
      </c>
      <c r="J107" s="119">
        <f t="shared" si="43"/>
        <v>0</v>
      </c>
      <c r="K107" s="119">
        <f t="shared" si="35"/>
        <v>0</v>
      </c>
      <c r="L107" s="119">
        <f t="shared" si="36"/>
        <v>0</v>
      </c>
      <c r="M107" s="71"/>
      <c r="N107" s="68">
        <f>ROUND(G107*tab!E$39,2)</f>
        <v>0</v>
      </c>
      <c r="O107" s="68">
        <f>ROUND(H107*tab!F$39,2)</f>
        <v>0</v>
      </c>
      <c r="P107" s="68">
        <f>ROUND(I107*tab!G$39,2)</f>
        <v>0</v>
      </c>
      <c r="Q107" s="68">
        <f>ROUND(J107*tab!H$39,2)</f>
        <v>0</v>
      </c>
      <c r="R107" s="68">
        <f>ROUND(K107*tab!I$39,2)</f>
        <v>0</v>
      </c>
      <c r="S107" s="68">
        <f>ROUND(L107*tab!J$39,2)</f>
        <v>0</v>
      </c>
      <c r="T107" s="71"/>
      <c r="U107" s="153">
        <v>0</v>
      </c>
      <c r="V107" s="120">
        <f t="shared" si="44"/>
        <v>0</v>
      </c>
      <c r="W107" s="120">
        <f t="shared" si="44"/>
        <v>0</v>
      </c>
      <c r="X107" s="120">
        <f t="shared" si="44"/>
        <v>0</v>
      </c>
      <c r="Y107" s="120">
        <f t="shared" si="37"/>
        <v>0</v>
      </c>
      <c r="Z107" s="120">
        <f t="shared" si="38"/>
        <v>0</v>
      </c>
      <c r="AA107" s="71"/>
      <c r="AB107" s="68">
        <f>+H107*tab!F$42</f>
        <v>0</v>
      </c>
      <c r="AC107" s="68">
        <f>+I107*tab!G$42</f>
        <v>0</v>
      </c>
      <c r="AD107" s="68">
        <f>+J107*tab!H$42</f>
        <v>0</v>
      </c>
      <c r="AE107" s="68">
        <f>+K107*tab!I$42</f>
        <v>0</v>
      </c>
      <c r="AF107" s="68">
        <f>+L107*tab!J$42</f>
        <v>0</v>
      </c>
      <c r="AG107" s="71"/>
      <c r="AH107" s="599">
        <v>0</v>
      </c>
      <c r="AI107" s="120">
        <f t="shared" si="39"/>
        <v>0</v>
      </c>
      <c r="AJ107" s="120">
        <f t="shared" si="40"/>
        <v>0</v>
      </c>
      <c r="AK107" s="120">
        <f t="shared" si="41"/>
        <v>0</v>
      </c>
      <c r="AL107" s="120">
        <f t="shared" si="42"/>
        <v>0</v>
      </c>
      <c r="AM107" s="134"/>
    </row>
    <row r="108" spans="2:39" s="113" customFormat="1" x14ac:dyDescent="0.2">
      <c r="B108" s="133"/>
      <c r="C108" s="150"/>
      <c r="D108" s="50">
        <v>94</v>
      </c>
      <c r="E108" s="1100" t="str">
        <f>+'Li O school'!E108</f>
        <v>school 94</v>
      </c>
      <c r="F108" s="1100" t="str">
        <f>+'Li O school'!F108</f>
        <v>11AA</v>
      </c>
      <c r="G108" s="925">
        <v>0</v>
      </c>
      <c r="H108" s="925">
        <v>0</v>
      </c>
      <c r="I108" s="119">
        <f t="shared" si="43"/>
        <v>0</v>
      </c>
      <c r="J108" s="119">
        <f t="shared" si="43"/>
        <v>0</v>
      </c>
      <c r="K108" s="119">
        <f t="shared" si="35"/>
        <v>0</v>
      </c>
      <c r="L108" s="119">
        <f t="shared" si="36"/>
        <v>0</v>
      </c>
      <c r="M108" s="71"/>
      <c r="N108" s="68">
        <f>ROUND(G108*tab!E$39,2)</f>
        <v>0</v>
      </c>
      <c r="O108" s="68">
        <f>ROUND(H108*tab!F$39,2)</f>
        <v>0</v>
      </c>
      <c r="P108" s="68">
        <f>ROUND(I108*tab!G$39,2)</f>
        <v>0</v>
      </c>
      <c r="Q108" s="68">
        <f>ROUND(J108*tab!H$39,2)</f>
        <v>0</v>
      </c>
      <c r="R108" s="68">
        <f>ROUND(K108*tab!I$39,2)</f>
        <v>0</v>
      </c>
      <c r="S108" s="68">
        <f>ROUND(L108*tab!J$39,2)</f>
        <v>0</v>
      </c>
      <c r="T108" s="71"/>
      <c r="U108" s="153">
        <v>0</v>
      </c>
      <c r="V108" s="120">
        <f t="shared" si="44"/>
        <v>0</v>
      </c>
      <c r="W108" s="120">
        <f t="shared" si="44"/>
        <v>0</v>
      </c>
      <c r="X108" s="120">
        <f t="shared" si="44"/>
        <v>0</v>
      </c>
      <c r="Y108" s="120">
        <f t="shared" si="37"/>
        <v>0</v>
      </c>
      <c r="Z108" s="120">
        <f t="shared" si="38"/>
        <v>0</v>
      </c>
      <c r="AA108" s="71"/>
      <c r="AB108" s="68">
        <f>+H108*tab!F$42</f>
        <v>0</v>
      </c>
      <c r="AC108" s="68">
        <f>+I108*tab!G$42</f>
        <v>0</v>
      </c>
      <c r="AD108" s="68">
        <f>+J108*tab!H$42</f>
        <v>0</v>
      </c>
      <c r="AE108" s="68">
        <f>+K108*tab!I$42</f>
        <v>0</v>
      </c>
      <c r="AF108" s="68">
        <f>+L108*tab!J$42</f>
        <v>0</v>
      </c>
      <c r="AG108" s="71"/>
      <c r="AH108" s="599">
        <v>0</v>
      </c>
      <c r="AI108" s="120">
        <f t="shared" si="39"/>
        <v>0</v>
      </c>
      <c r="AJ108" s="120">
        <f t="shared" si="40"/>
        <v>0</v>
      </c>
      <c r="AK108" s="120">
        <f t="shared" si="41"/>
        <v>0</v>
      </c>
      <c r="AL108" s="120">
        <f t="shared" si="42"/>
        <v>0</v>
      </c>
      <c r="AM108" s="134"/>
    </row>
    <row r="109" spans="2:39" s="113" customFormat="1" x14ac:dyDescent="0.2">
      <c r="B109" s="133"/>
      <c r="C109" s="150"/>
      <c r="D109" s="50">
        <v>95</v>
      </c>
      <c r="E109" s="1100" t="str">
        <f>+'Li O school'!E109</f>
        <v>school 95</v>
      </c>
      <c r="F109" s="1100" t="str">
        <f>+'Li O school'!F109</f>
        <v>11AA</v>
      </c>
      <c r="G109" s="925">
        <v>0</v>
      </c>
      <c r="H109" s="925">
        <v>0</v>
      </c>
      <c r="I109" s="119">
        <f t="shared" si="43"/>
        <v>0</v>
      </c>
      <c r="J109" s="119">
        <f t="shared" si="43"/>
        <v>0</v>
      </c>
      <c r="K109" s="119">
        <f t="shared" si="35"/>
        <v>0</v>
      </c>
      <c r="L109" s="119">
        <f t="shared" si="36"/>
        <v>0</v>
      </c>
      <c r="M109" s="71"/>
      <c r="N109" s="68">
        <f>ROUND(G109*tab!E$39,2)</f>
        <v>0</v>
      </c>
      <c r="O109" s="68">
        <f>ROUND(H109*tab!F$39,2)</f>
        <v>0</v>
      </c>
      <c r="P109" s="68">
        <f>ROUND(I109*tab!G$39,2)</f>
        <v>0</v>
      </c>
      <c r="Q109" s="68">
        <f>ROUND(J109*tab!H$39,2)</f>
        <v>0</v>
      </c>
      <c r="R109" s="68">
        <f>ROUND(K109*tab!I$39,2)</f>
        <v>0</v>
      </c>
      <c r="S109" s="68">
        <f>ROUND(L109*tab!J$39,2)</f>
        <v>0</v>
      </c>
      <c r="T109" s="71"/>
      <c r="U109" s="153">
        <v>0</v>
      </c>
      <c r="V109" s="120">
        <f t="shared" si="44"/>
        <v>0</v>
      </c>
      <c r="W109" s="120">
        <f t="shared" si="44"/>
        <v>0</v>
      </c>
      <c r="X109" s="120">
        <f t="shared" si="44"/>
        <v>0</v>
      </c>
      <c r="Y109" s="120">
        <f t="shared" si="37"/>
        <v>0</v>
      </c>
      <c r="Z109" s="120">
        <f t="shared" si="38"/>
        <v>0</v>
      </c>
      <c r="AA109" s="71"/>
      <c r="AB109" s="68">
        <f>+H109*tab!F$42</f>
        <v>0</v>
      </c>
      <c r="AC109" s="68">
        <f>+I109*tab!G$42</f>
        <v>0</v>
      </c>
      <c r="AD109" s="68">
        <f>+J109*tab!H$42</f>
        <v>0</v>
      </c>
      <c r="AE109" s="68">
        <f>+K109*tab!I$42</f>
        <v>0</v>
      </c>
      <c r="AF109" s="68">
        <f>+L109*tab!J$42</f>
        <v>0</v>
      </c>
      <c r="AG109" s="71"/>
      <c r="AH109" s="599">
        <v>0</v>
      </c>
      <c r="AI109" s="120">
        <f t="shared" si="39"/>
        <v>0</v>
      </c>
      <c r="AJ109" s="120">
        <f t="shared" si="40"/>
        <v>0</v>
      </c>
      <c r="AK109" s="120">
        <f t="shared" si="41"/>
        <v>0</v>
      </c>
      <c r="AL109" s="120">
        <f t="shared" si="42"/>
        <v>0</v>
      </c>
      <c r="AM109" s="134"/>
    </row>
    <row r="110" spans="2:39" s="113" customFormat="1" x14ac:dyDescent="0.2">
      <c r="B110" s="133"/>
      <c r="C110" s="150"/>
      <c r="D110" s="50">
        <v>96</v>
      </c>
      <c r="E110" s="1100" t="str">
        <f>+'Li O school'!E110</f>
        <v>school 96</v>
      </c>
      <c r="F110" s="1100" t="str">
        <f>+'Li O school'!F110</f>
        <v>11AA</v>
      </c>
      <c r="G110" s="925">
        <v>0</v>
      </c>
      <c r="H110" s="925">
        <v>0</v>
      </c>
      <c r="I110" s="119">
        <f t="shared" si="43"/>
        <v>0</v>
      </c>
      <c r="J110" s="119">
        <f t="shared" si="43"/>
        <v>0</v>
      </c>
      <c r="K110" s="119">
        <f t="shared" si="35"/>
        <v>0</v>
      </c>
      <c r="L110" s="119">
        <f t="shared" si="36"/>
        <v>0</v>
      </c>
      <c r="M110" s="71"/>
      <c r="N110" s="68">
        <f>ROUND(G110*tab!E$39,2)</f>
        <v>0</v>
      </c>
      <c r="O110" s="68">
        <f>ROUND(H110*tab!F$39,2)</f>
        <v>0</v>
      </c>
      <c r="P110" s="68">
        <f>ROUND(I110*tab!G$39,2)</f>
        <v>0</v>
      </c>
      <c r="Q110" s="68">
        <f>ROUND(J110*tab!H$39,2)</f>
        <v>0</v>
      </c>
      <c r="R110" s="68">
        <f>ROUND(K110*tab!I$39,2)</f>
        <v>0</v>
      </c>
      <c r="S110" s="68">
        <f>ROUND(L110*tab!J$39,2)</f>
        <v>0</v>
      </c>
      <c r="T110" s="71"/>
      <c r="U110" s="153">
        <v>0</v>
      </c>
      <c r="V110" s="120">
        <f t="shared" si="44"/>
        <v>0</v>
      </c>
      <c r="W110" s="120">
        <f t="shared" si="44"/>
        <v>0</v>
      </c>
      <c r="X110" s="120">
        <f t="shared" si="44"/>
        <v>0</v>
      </c>
      <c r="Y110" s="120">
        <f t="shared" si="37"/>
        <v>0</v>
      </c>
      <c r="Z110" s="120">
        <f t="shared" si="38"/>
        <v>0</v>
      </c>
      <c r="AA110" s="71"/>
      <c r="AB110" s="68">
        <f>+H110*tab!F$42</f>
        <v>0</v>
      </c>
      <c r="AC110" s="68">
        <f>+I110*tab!G$42</f>
        <v>0</v>
      </c>
      <c r="AD110" s="68">
        <f>+J110*tab!H$42</f>
        <v>0</v>
      </c>
      <c r="AE110" s="68">
        <f>+K110*tab!I$42</f>
        <v>0</v>
      </c>
      <c r="AF110" s="68">
        <f>+L110*tab!J$42</f>
        <v>0</v>
      </c>
      <c r="AG110" s="71"/>
      <c r="AH110" s="599">
        <v>0</v>
      </c>
      <c r="AI110" s="120">
        <f t="shared" si="39"/>
        <v>0</v>
      </c>
      <c r="AJ110" s="120">
        <f t="shared" si="40"/>
        <v>0</v>
      </c>
      <c r="AK110" s="120">
        <f t="shared" si="41"/>
        <v>0</v>
      </c>
      <c r="AL110" s="120">
        <f t="shared" si="42"/>
        <v>0</v>
      </c>
      <c r="AM110" s="134"/>
    </row>
    <row r="111" spans="2:39" s="113" customFormat="1" x14ac:dyDescent="0.2">
      <c r="B111" s="133"/>
      <c r="C111" s="150"/>
      <c r="D111" s="50">
        <v>97</v>
      </c>
      <c r="E111" s="1100" t="str">
        <f>+'Li O school'!E111</f>
        <v>school 97</v>
      </c>
      <c r="F111" s="1100" t="str">
        <f>+'Li O school'!F111</f>
        <v>11AA</v>
      </c>
      <c r="G111" s="925">
        <v>0</v>
      </c>
      <c r="H111" s="925">
        <v>0</v>
      </c>
      <c r="I111" s="119">
        <f t="shared" si="43"/>
        <v>0</v>
      </c>
      <c r="J111" s="119">
        <f t="shared" si="43"/>
        <v>0</v>
      </c>
      <c r="K111" s="119">
        <f t="shared" si="35"/>
        <v>0</v>
      </c>
      <c r="L111" s="119">
        <f t="shared" si="36"/>
        <v>0</v>
      </c>
      <c r="M111" s="71"/>
      <c r="N111" s="68">
        <f>ROUND(G111*tab!E$39,2)</f>
        <v>0</v>
      </c>
      <c r="O111" s="68">
        <f>ROUND(H111*tab!F$39,2)</f>
        <v>0</v>
      </c>
      <c r="P111" s="68">
        <f>ROUND(I111*tab!G$39,2)</f>
        <v>0</v>
      </c>
      <c r="Q111" s="68">
        <f>ROUND(J111*tab!H$39,2)</f>
        <v>0</v>
      </c>
      <c r="R111" s="68">
        <f>ROUND(K111*tab!I$39,2)</f>
        <v>0</v>
      </c>
      <c r="S111" s="68">
        <f>ROUND(L111*tab!J$39,2)</f>
        <v>0</v>
      </c>
      <c r="T111" s="71"/>
      <c r="U111" s="153">
        <v>0</v>
      </c>
      <c r="V111" s="120">
        <f t="shared" si="44"/>
        <v>0</v>
      </c>
      <c r="W111" s="120">
        <f t="shared" si="44"/>
        <v>0</v>
      </c>
      <c r="X111" s="120">
        <f t="shared" si="44"/>
        <v>0</v>
      </c>
      <c r="Y111" s="120">
        <f t="shared" si="37"/>
        <v>0</v>
      </c>
      <c r="Z111" s="120">
        <f t="shared" si="38"/>
        <v>0</v>
      </c>
      <c r="AA111" s="71"/>
      <c r="AB111" s="68">
        <f>+H111*tab!F$42</f>
        <v>0</v>
      </c>
      <c r="AC111" s="68">
        <f>+I111*tab!G$42</f>
        <v>0</v>
      </c>
      <c r="AD111" s="68">
        <f>+J111*tab!H$42</f>
        <v>0</v>
      </c>
      <c r="AE111" s="68">
        <f>+K111*tab!I$42</f>
        <v>0</v>
      </c>
      <c r="AF111" s="68">
        <f>+L111*tab!J$42</f>
        <v>0</v>
      </c>
      <c r="AG111" s="71"/>
      <c r="AH111" s="599">
        <v>0</v>
      </c>
      <c r="AI111" s="120">
        <f t="shared" si="39"/>
        <v>0</v>
      </c>
      <c r="AJ111" s="120">
        <f t="shared" si="40"/>
        <v>0</v>
      </c>
      <c r="AK111" s="120">
        <f t="shared" si="41"/>
        <v>0</v>
      </c>
      <c r="AL111" s="120">
        <f t="shared" si="42"/>
        <v>0</v>
      </c>
      <c r="AM111" s="134"/>
    </row>
    <row r="112" spans="2:39" s="113" customFormat="1" x14ac:dyDescent="0.2">
      <c r="B112" s="133"/>
      <c r="C112" s="150"/>
      <c r="D112" s="50">
        <v>98</v>
      </c>
      <c r="E112" s="1100" t="str">
        <f>+'Li O school'!E112</f>
        <v>school 98</v>
      </c>
      <c r="F112" s="1100" t="str">
        <f>+'Li O school'!F112</f>
        <v>11AA</v>
      </c>
      <c r="G112" s="925">
        <v>0</v>
      </c>
      <c r="H112" s="925">
        <v>0</v>
      </c>
      <c r="I112" s="119">
        <f t="shared" si="43"/>
        <v>0</v>
      </c>
      <c r="J112" s="119">
        <f t="shared" si="43"/>
        <v>0</v>
      </c>
      <c r="K112" s="119">
        <f t="shared" si="35"/>
        <v>0</v>
      </c>
      <c r="L112" s="119">
        <f t="shared" si="36"/>
        <v>0</v>
      </c>
      <c r="M112" s="71"/>
      <c r="N112" s="68">
        <f>ROUND(G112*tab!E$39,2)</f>
        <v>0</v>
      </c>
      <c r="O112" s="68">
        <f>ROUND(H112*tab!F$39,2)</f>
        <v>0</v>
      </c>
      <c r="P112" s="68">
        <f>ROUND(I112*tab!G$39,2)</f>
        <v>0</v>
      </c>
      <c r="Q112" s="68">
        <f>ROUND(J112*tab!H$39,2)</f>
        <v>0</v>
      </c>
      <c r="R112" s="68">
        <f>ROUND(K112*tab!I$39,2)</f>
        <v>0</v>
      </c>
      <c r="S112" s="68">
        <f>ROUND(L112*tab!J$39,2)</f>
        <v>0</v>
      </c>
      <c r="T112" s="71"/>
      <c r="U112" s="153">
        <v>0</v>
      </c>
      <c r="V112" s="120">
        <f t="shared" si="44"/>
        <v>0</v>
      </c>
      <c r="W112" s="120">
        <f t="shared" si="44"/>
        <v>0</v>
      </c>
      <c r="X112" s="120">
        <f t="shared" si="44"/>
        <v>0</v>
      </c>
      <c r="Y112" s="120">
        <f t="shared" si="37"/>
        <v>0</v>
      </c>
      <c r="Z112" s="120">
        <f t="shared" si="38"/>
        <v>0</v>
      </c>
      <c r="AA112" s="71"/>
      <c r="AB112" s="68">
        <f>+H112*tab!F$42</f>
        <v>0</v>
      </c>
      <c r="AC112" s="68">
        <f>+I112*tab!G$42</f>
        <v>0</v>
      </c>
      <c r="AD112" s="68">
        <f>+J112*tab!H$42</f>
        <v>0</v>
      </c>
      <c r="AE112" s="68">
        <f>+K112*tab!I$42</f>
        <v>0</v>
      </c>
      <c r="AF112" s="68">
        <f>+L112*tab!J$42</f>
        <v>0</v>
      </c>
      <c r="AG112" s="71"/>
      <c r="AH112" s="599">
        <v>0</v>
      </c>
      <c r="AI112" s="120">
        <f t="shared" si="39"/>
        <v>0</v>
      </c>
      <c r="AJ112" s="120">
        <f t="shared" si="40"/>
        <v>0</v>
      </c>
      <c r="AK112" s="120">
        <f t="shared" si="41"/>
        <v>0</v>
      </c>
      <c r="AL112" s="120">
        <f t="shared" si="42"/>
        <v>0</v>
      </c>
      <c r="AM112" s="134"/>
    </row>
    <row r="113" spans="2:39" s="113" customFormat="1" x14ac:dyDescent="0.2">
      <c r="B113" s="133"/>
      <c r="C113" s="150"/>
      <c r="D113" s="50">
        <v>99</v>
      </c>
      <c r="E113" s="1100" t="str">
        <f>+'Li O school'!E113</f>
        <v>school 99</v>
      </c>
      <c r="F113" s="1100" t="str">
        <f>+'Li O school'!F113</f>
        <v>11AA</v>
      </c>
      <c r="G113" s="925">
        <v>0</v>
      </c>
      <c r="H113" s="925">
        <v>0</v>
      </c>
      <c r="I113" s="119">
        <f t="shared" si="43"/>
        <v>0</v>
      </c>
      <c r="J113" s="119">
        <f t="shared" si="43"/>
        <v>0</v>
      </c>
      <c r="K113" s="119">
        <f t="shared" si="35"/>
        <v>0</v>
      </c>
      <c r="L113" s="119">
        <f t="shared" si="36"/>
        <v>0</v>
      </c>
      <c r="M113" s="71"/>
      <c r="N113" s="68">
        <f>ROUND(G113*tab!E$39,2)</f>
        <v>0</v>
      </c>
      <c r="O113" s="68">
        <f>ROUND(H113*tab!F$39,2)</f>
        <v>0</v>
      </c>
      <c r="P113" s="68">
        <f>ROUND(I113*tab!G$39,2)</f>
        <v>0</v>
      </c>
      <c r="Q113" s="68">
        <f>ROUND(J113*tab!H$39,2)</f>
        <v>0</v>
      </c>
      <c r="R113" s="68">
        <f>ROUND(K113*tab!I$39,2)</f>
        <v>0</v>
      </c>
      <c r="S113" s="68">
        <f>ROUND(L113*tab!J$39,2)</f>
        <v>0</v>
      </c>
      <c r="T113" s="71"/>
      <c r="U113" s="153">
        <v>0</v>
      </c>
      <c r="V113" s="120">
        <f t="shared" si="44"/>
        <v>0</v>
      </c>
      <c r="W113" s="120">
        <f t="shared" si="44"/>
        <v>0</v>
      </c>
      <c r="X113" s="120">
        <f t="shared" si="44"/>
        <v>0</v>
      </c>
      <c r="Y113" s="120">
        <f t="shared" si="37"/>
        <v>0</v>
      </c>
      <c r="Z113" s="120">
        <f t="shared" si="38"/>
        <v>0</v>
      </c>
      <c r="AA113" s="71"/>
      <c r="AB113" s="68">
        <f>+H113*tab!F$42</f>
        <v>0</v>
      </c>
      <c r="AC113" s="68">
        <f>+I113*tab!G$42</f>
        <v>0</v>
      </c>
      <c r="AD113" s="68">
        <f>+J113*tab!H$42</f>
        <v>0</v>
      </c>
      <c r="AE113" s="68">
        <f>+K113*tab!I$42</f>
        <v>0</v>
      </c>
      <c r="AF113" s="68">
        <f>+L113*tab!J$42</f>
        <v>0</v>
      </c>
      <c r="AG113" s="71"/>
      <c r="AH113" s="599">
        <v>0</v>
      </c>
      <c r="AI113" s="120">
        <f t="shared" si="39"/>
        <v>0</v>
      </c>
      <c r="AJ113" s="120">
        <f t="shared" si="40"/>
        <v>0</v>
      </c>
      <c r="AK113" s="120">
        <f t="shared" si="41"/>
        <v>0</v>
      </c>
      <c r="AL113" s="120">
        <f t="shared" si="42"/>
        <v>0</v>
      </c>
      <c r="AM113" s="134"/>
    </row>
    <row r="114" spans="2:39" s="113" customFormat="1" x14ac:dyDescent="0.2">
      <c r="B114" s="133"/>
      <c r="C114" s="150"/>
      <c r="D114" s="50">
        <v>100</v>
      </c>
      <c r="E114" s="1100" t="str">
        <f>+'Li O school'!E114</f>
        <v>school 100</v>
      </c>
      <c r="F114" s="1100" t="str">
        <f>+'Li O school'!F114</f>
        <v>11AA</v>
      </c>
      <c r="G114" s="925">
        <v>0</v>
      </c>
      <c r="H114" s="925">
        <v>0</v>
      </c>
      <c r="I114" s="119">
        <f t="shared" si="43"/>
        <v>0</v>
      </c>
      <c r="J114" s="119">
        <f t="shared" si="43"/>
        <v>0</v>
      </c>
      <c r="K114" s="119">
        <f t="shared" si="35"/>
        <v>0</v>
      </c>
      <c r="L114" s="119">
        <f t="shared" si="36"/>
        <v>0</v>
      </c>
      <c r="M114" s="71"/>
      <c r="N114" s="68">
        <f>ROUND(G114*tab!E$39,2)</f>
        <v>0</v>
      </c>
      <c r="O114" s="68">
        <f>ROUND(H114*tab!F$39,2)</f>
        <v>0</v>
      </c>
      <c r="P114" s="68">
        <f>ROUND(I114*tab!G$39,2)</f>
        <v>0</v>
      </c>
      <c r="Q114" s="68">
        <f>ROUND(J114*tab!H$39,2)</f>
        <v>0</v>
      </c>
      <c r="R114" s="68">
        <f>ROUND(K114*tab!I$39,2)</f>
        <v>0</v>
      </c>
      <c r="S114" s="68">
        <f>ROUND(L114*tab!J$39,2)</f>
        <v>0</v>
      </c>
      <c r="T114" s="71"/>
      <c r="U114" s="153">
        <v>0</v>
      </c>
      <c r="V114" s="120">
        <f t="shared" si="44"/>
        <v>0</v>
      </c>
      <c r="W114" s="120">
        <f t="shared" si="44"/>
        <v>0</v>
      </c>
      <c r="X114" s="120">
        <f t="shared" si="44"/>
        <v>0</v>
      </c>
      <c r="Y114" s="120">
        <f t="shared" si="37"/>
        <v>0</v>
      </c>
      <c r="Z114" s="120">
        <f t="shared" si="38"/>
        <v>0</v>
      </c>
      <c r="AA114" s="71"/>
      <c r="AB114" s="68">
        <f>+H114*tab!F$42</f>
        <v>0</v>
      </c>
      <c r="AC114" s="68">
        <f>+I114*tab!G$42</f>
        <v>0</v>
      </c>
      <c r="AD114" s="68">
        <f>+J114*tab!H$42</f>
        <v>0</v>
      </c>
      <c r="AE114" s="68">
        <f>+K114*tab!I$42</f>
        <v>0</v>
      </c>
      <c r="AF114" s="68">
        <f>+L114*tab!J$42</f>
        <v>0</v>
      </c>
      <c r="AG114" s="71"/>
      <c r="AH114" s="599">
        <v>0</v>
      </c>
      <c r="AI114" s="120">
        <f t="shared" si="39"/>
        <v>0</v>
      </c>
      <c r="AJ114" s="120">
        <f t="shared" si="40"/>
        <v>0</v>
      </c>
      <c r="AK114" s="120">
        <f t="shared" si="41"/>
        <v>0</v>
      </c>
      <c r="AL114" s="120">
        <f t="shared" si="42"/>
        <v>0</v>
      </c>
      <c r="AM114" s="134"/>
    </row>
    <row r="115" spans="2:39" s="113" customFormat="1" x14ac:dyDescent="0.2">
      <c r="B115" s="133"/>
      <c r="C115" s="150"/>
      <c r="D115" s="50">
        <v>101</v>
      </c>
      <c r="E115" s="1100" t="str">
        <f>+'Li O school'!E115</f>
        <v>school 101</v>
      </c>
      <c r="F115" s="1100" t="str">
        <f>+'Li O school'!F115</f>
        <v>11AA</v>
      </c>
      <c r="G115" s="925">
        <v>0</v>
      </c>
      <c r="H115" s="925">
        <v>0</v>
      </c>
      <c r="I115" s="119">
        <f t="shared" ref="I115:J134" si="45">H115</f>
        <v>0</v>
      </c>
      <c r="J115" s="119">
        <f t="shared" si="45"/>
        <v>0</v>
      </c>
      <c r="K115" s="119">
        <f t="shared" si="35"/>
        <v>0</v>
      </c>
      <c r="L115" s="119">
        <f t="shared" si="36"/>
        <v>0</v>
      </c>
      <c r="M115" s="71"/>
      <c r="N115" s="68">
        <f>ROUND(G115*tab!E$39,2)</f>
        <v>0</v>
      </c>
      <c r="O115" s="68">
        <f>ROUND(H115*tab!F$39,2)</f>
        <v>0</v>
      </c>
      <c r="P115" s="68">
        <f>ROUND(I115*tab!G$39,2)</f>
        <v>0</v>
      </c>
      <c r="Q115" s="68">
        <f>ROUND(J115*tab!H$39,2)</f>
        <v>0</v>
      </c>
      <c r="R115" s="68">
        <f>ROUND(K115*tab!I$39,2)</f>
        <v>0</v>
      </c>
      <c r="S115" s="68">
        <f>ROUND(L115*tab!J$39,2)</f>
        <v>0</v>
      </c>
      <c r="T115" s="71"/>
      <c r="U115" s="153">
        <v>0</v>
      </c>
      <c r="V115" s="120">
        <f t="shared" ref="V115:X134" si="46">U115</f>
        <v>0</v>
      </c>
      <c r="W115" s="120">
        <f t="shared" si="46"/>
        <v>0</v>
      </c>
      <c r="X115" s="120">
        <f t="shared" si="46"/>
        <v>0</v>
      </c>
      <c r="Y115" s="120">
        <f t="shared" si="37"/>
        <v>0</v>
      </c>
      <c r="Z115" s="120">
        <f t="shared" si="38"/>
        <v>0</v>
      </c>
      <c r="AA115" s="71"/>
      <c r="AB115" s="68">
        <f>+H115*tab!F$42</f>
        <v>0</v>
      </c>
      <c r="AC115" s="68">
        <f>+I115*tab!G$42</f>
        <v>0</v>
      </c>
      <c r="AD115" s="68">
        <f>+J115*tab!H$42</f>
        <v>0</v>
      </c>
      <c r="AE115" s="68">
        <f>+K115*tab!I$42</f>
        <v>0</v>
      </c>
      <c r="AF115" s="68">
        <f>+L115*tab!J$42</f>
        <v>0</v>
      </c>
      <c r="AG115" s="71"/>
      <c r="AH115" s="599">
        <v>0</v>
      </c>
      <c r="AI115" s="120">
        <f t="shared" si="39"/>
        <v>0</v>
      </c>
      <c r="AJ115" s="120">
        <f t="shared" si="40"/>
        <v>0</v>
      </c>
      <c r="AK115" s="120">
        <f t="shared" si="41"/>
        <v>0</v>
      </c>
      <c r="AL115" s="120">
        <f t="shared" si="42"/>
        <v>0</v>
      </c>
      <c r="AM115" s="134"/>
    </row>
    <row r="116" spans="2:39" s="113" customFormat="1" x14ac:dyDescent="0.2">
      <c r="B116" s="133"/>
      <c r="C116" s="150"/>
      <c r="D116" s="50">
        <v>102</v>
      </c>
      <c r="E116" s="1100" t="str">
        <f>+'Li O school'!E116</f>
        <v>school 102</v>
      </c>
      <c r="F116" s="1100" t="str">
        <f>+'Li O school'!F116</f>
        <v>11AA</v>
      </c>
      <c r="G116" s="925">
        <v>0</v>
      </c>
      <c r="H116" s="925">
        <v>0</v>
      </c>
      <c r="I116" s="119">
        <f t="shared" si="45"/>
        <v>0</v>
      </c>
      <c r="J116" s="119">
        <f t="shared" si="45"/>
        <v>0</v>
      </c>
      <c r="K116" s="119">
        <f t="shared" si="35"/>
        <v>0</v>
      </c>
      <c r="L116" s="119">
        <f t="shared" si="36"/>
        <v>0</v>
      </c>
      <c r="M116" s="71"/>
      <c r="N116" s="68">
        <f>ROUND(G116*tab!E$39,2)</f>
        <v>0</v>
      </c>
      <c r="O116" s="68">
        <f>ROUND(H116*tab!F$39,2)</f>
        <v>0</v>
      </c>
      <c r="P116" s="68">
        <f>ROUND(I116*tab!G$39,2)</f>
        <v>0</v>
      </c>
      <c r="Q116" s="68">
        <f>ROUND(J116*tab!H$39,2)</f>
        <v>0</v>
      </c>
      <c r="R116" s="68">
        <f>ROUND(K116*tab!I$39,2)</f>
        <v>0</v>
      </c>
      <c r="S116" s="68">
        <f>ROUND(L116*tab!J$39,2)</f>
        <v>0</v>
      </c>
      <c r="T116" s="71"/>
      <c r="U116" s="153">
        <v>0</v>
      </c>
      <c r="V116" s="120">
        <f t="shared" si="46"/>
        <v>0</v>
      </c>
      <c r="W116" s="120">
        <f t="shared" si="46"/>
        <v>0</v>
      </c>
      <c r="X116" s="120">
        <f t="shared" si="46"/>
        <v>0</v>
      </c>
      <c r="Y116" s="120">
        <f t="shared" si="37"/>
        <v>0</v>
      </c>
      <c r="Z116" s="120">
        <f t="shared" si="38"/>
        <v>0</v>
      </c>
      <c r="AA116" s="71"/>
      <c r="AB116" s="68">
        <f>+H116*tab!F$42</f>
        <v>0</v>
      </c>
      <c r="AC116" s="68">
        <f>+I116*tab!G$42</f>
        <v>0</v>
      </c>
      <c r="AD116" s="68">
        <f>+J116*tab!H$42</f>
        <v>0</v>
      </c>
      <c r="AE116" s="68">
        <f>+K116*tab!I$42</f>
        <v>0</v>
      </c>
      <c r="AF116" s="68">
        <f>+L116*tab!J$42</f>
        <v>0</v>
      </c>
      <c r="AG116" s="71"/>
      <c r="AH116" s="599">
        <v>0</v>
      </c>
      <c r="AI116" s="120">
        <f t="shared" si="39"/>
        <v>0</v>
      </c>
      <c r="AJ116" s="120">
        <f t="shared" si="40"/>
        <v>0</v>
      </c>
      <c r="AK116" s="120">
        <f t="shared" si="41"/>
        <v>0</v>
      </c>
      <c r="AL116" s="120">
        <f t="shared" si="42"/>
        <v>0</v>
      </c>
      <c r="AM116" s="134"/>
    </row>
    <row r="117" spans="2:39" s="113" customFormat="1" x14ac:dyDescent="0.2">
      <c r="B117" s="133"/>
      <c r="C117" s="150"/>
      <c r="D117" s="50">
        <v>103</v>
      </c>
      <c r="E117" s="1100" t="str">
        <f>+'Li O school'!E117</f>
        <v>school 103</v>
      </c>
      <c r="F117" s="1100" t="str">
        <f>+'Li O school'!F117</f>
        <v>11AA</v>
      </c>
      <c r="G117" s="925">
        <v>0</v>
      </c>
      <c r="H117" s="925">
        <v>0</v>
      </c>
      <c r="I117" s="119">
        <f t="shared" si="45"/>
        <v>0</v>
      </c>
      <c r="J117" s="119">
        <f t="shared" si="45"/>
        <v>0</v>
      </c>
      <c r="K117" s="119">
        <f t="shared" si="35"/>
        <v>0</v>
      </c>
      <c r="L117" s="119">
        <f t="shared" si="36"/>
        <v>0</v>
      </c>
      <c r="M117" s="71"/>
      <c r="N117" s="68">
        <f>ROUND(G117*tab!E$39,2)</f>
        <v>0</v>
      </c>
      <c r="O117" s="68">
        <f>ROUND(H117*tab!F$39,2)</f>
        <v>0</v>
      </c>
      <c r="P117" s="68">
        <f>ROUND(I117*tab!G$39,2)</f>
        <v>0</v>
      </c>
      <c r="Q117" s="68">
        <f>ROUND(J117*tab!H$39,2)</f>
        <v>0</v>
      </c>
      <c r="R117" s="68">
        <f>ROUND(K117*tab!I$39,2)</f>
        <v>0</v>
      </c>
      <c r="S117" s="68">
        <f>ROUND(L117*tab!J$39,2)</f>
        <v>0</v>
      </c>
      <c r="T117" s="71"/>
      <c r="U117" s="153">
        <v>0</v>
      </c>
      <c r="V117" s="120">
        <f t="shared" si="46"/>
        <v>0</v>
      </c>
      <c r="W117" s="120">
        <f t="shared" si="46"/>
        <v>0</v>
      </c>
      <c r="X117" s="120">
        <f t="shared" si="46"/>
        <v>0</v>
      </c>
      <c r="Y117" s="120">
        <f t="shared" si="37"/>
        <v>0</v>
      </c>
      <c r="Z117" s="120">
        <f t="shared" si="38"/>
        <v>0</v>
      </c>
      <c r="AA117" s="71"/>
      <c r="AB117" s="68">
        <f>+H117*tab!F$42</f>
        <v>0</v>
      </c>
      <c r="AC117" s="68">
        <f>+I117*tab!G$42</f>
        <v>0</v>
      </c>
      <c r="AD117" s="68">
        <f>+J117*tab!H$42</f>
        <v>0</v>
      </c>
      <c r="AE117" s="68">
        <f>+K117*tab!I$42</f>
        <v>0</v>
      </c>
      <c r="AF117" s="68">
        <f>+L117*tab!J$42</f>
        <v>0</v>
      </c>
      <c r="AG117" s="71"/>
      <c r="AH117" s="599">
        <v>0</v>
      </c>
      <c r="AI117" s="120">
        <f t="shared" si="39"/>
        <v>0</v>
      </c>
      <c r="AJ117" s="120">
        <f t="shared" si="40"/>
        <v>0</v>
      </c>
      <c r="AK117" s="120">
        <f t="shared" si="41"/>
        <v>0</v>
      </c>
      <c r="AL117" s="120">
        <f t="shared" si="42"/>
        <v>0</v>
      </c>
      <c r="AM117" s="134"/>
    </row>
    <row r="118" spans="2:39" s="113" customFormat="1" x14ac:dyDescent="0.2">
      <c r="B118" s="133"/>
      <c r="C118" s="150"/>
      <c r="D118" s="50">
        <v>104</v>
      </c>
      <c r="E118" s="1100" t="str">
        <f>+'Li O school'!E118</f>
        <v>school 104</v>
      </c>
      <c r="F118" s="1100" t="str">
        <f>+'Li O school'!F118</f>
        <v>11AA</v>
      </c>
      <c r="G118" s="925">
        <v>0</v>
      </c>
      <c r="H118" s="925">
        <v>0</v>
      </c>
      <c r="I118" s="119">
        <f t="shared" si="45"/>
        <v>0</v>
      </c>
      <c r="J118" s="119">
        <f t="shared" si="45"/>
        <v>0</v>
      </c>
      <c r="K118" s="119">
        <f t="shared" si="35"/>
        <v>0</v>
      </c>
      <c r="L118" s="119">
        <f t="shared" si="36"/>
        <v>0</v>
      </c>
      <c r="M118" s="71"/>
      <c r="N118" s="68">
        <f>ROUND(G118*tab!E$39,2)</f>
        <v>0</v>
      </c>
      <c r="O118" s="68">
        <f>ROUND(H118*tab!F$39,2)</f>
        <v>0</v>
      </c>
      <c r="P118" s="68">
        <f>ROUND(I118*tab!G$39,2)</f>
        <v>0</v>
      </c>
      <c r="Q118" s="68">
        <f>ROUND(J118*tab!H$39,2)</f>
        <v>0</v>
      </c>
      <c r="R118" s="68">
        <f>ROUND(K118*tab!I$39,2)</f>
        <v>0</v>
      </c>
      <c r="S118" s="68">
        <f>ROUND(L118*tab!J$39,2)</f>
        <v>0</v>
      </c>
      <c r="T118" s="71"/>
      <c r="U118" s="153">
        <v>0</v>
      </c>
      <c r="V118" s="120">
        <f t="shared" si="46"/>
        <v>0</v>
      </c>
      <c r="W118" s="120">
        <f t="shared" si="46"/>
        <v>0</v>
      </c>
      <c r="X118" s="120">
        <f t="shared" si="46"/>
        <v>0</v>
      </c>
      <c r="Y118" s="120">
        <f t="shared" si="37"/>
        <v>0</v>
      </c>
      <c r="Z118" s="120">
        <f t="shared" si="38"/>
        <v>0</v>
      </c>
      <c r="AA118" s="71"/>
      <c r="AB118" s="68">
        <f>+H118*tab!F$42</f>
        <v>0</v>
      </c>
      <c r="AC118" s="68">
        <f>+I118*tab!G$42</f>
        <v>0</v>
      </c>
      <c r="AD118" s="68">
        <f>+J118*tab!H$42</f>
        <v>0</v>
      </c>
      <c r="AE118" s="68">
        <f>+K118*tab!I$42</f>
        <v>0</v>
      </c>
      <c r="AF118" s="68">
        <f>+L118*tab!J$42</f>
        <v>0</v>
      </c>
      <c r="AG118" s="71"/>
      <c r="AH118" s="599">
        <v>0</v>
      </c>
      <c r="AI118" s="120">
        <f t="shared" si="39"/>
        <v>0</v>
      </c>
      <c r="AJ118" s="120">
        <f t="shared" si="40"/>
        <v>0</v>
      </c>
      <c r="AK118" s="120">
        <f t="shared" si="41"/>
        <v>0</v>
      </c>
      <c r="AL118" s="120">
        <f t="shared" si="42"/>
        <v>0</v>
      </c>
      <c r="AM118" s="134"/>
    </row>
    <row r="119" spans="2:39" s="113" customFormat="1" x14ac:dyDescent="0.2">
      <c r="B119" s="133"/>
      <c r="C119" s="150"/>
      <c r="D119" s="50">
        <v>105</v>
      </c>
      <c r="E119" s="1100" t="str">
        <f>+'Li O school'!E119</f>
        <v>school 105</v>
      </c>
      <c r="F119" s="1100" t="str">
        <f>+'Li O school'!F119</f>
        <v>11AA</v>
      </c>
      <c r="G119" s="925">
        <v>0</v>
      </c>
      <c r="H119" s="925">
        <v>0</v>
      </c>
      <c r="I119" s="119">
        <f t="shared" si="45"/>
        <v>0</v>
      </c>
      <c r="J119" s="119">
        <f t="shared" si="45"/>
        <v>0</v>
      </c>
      <c r="K119" s="119">
        <f t="shared" si="35"/>
        <v>0</v>
      </c>
      <c r="L119" s="119">
        <f t="shared" si="36"/>
        <v>0</v>
      </c>
      <c r="M119" s="71"/>
      <c r="N119" s="68">
        <f>ROUND(G119*tab!E$39,2)</f>
        <v>0</v>
      </c>
      <c r="O119" s="68">
        <f>ROUND(H119*tab!F$39,2)</f>
        <v>0</v>
      </c>
      <c r="P119" s="68">
        <f>ROUND(I119*tab!G$39,2)</f>
        <v>0</v>
      </c>
      <c r="Q119" s="68">
        <f>ROUND(J119*tab!H$39,2)</f>
        <v>0</v>
      </c>
      <c r="R119" s="68">
        <f>ROUND(K119*tab!I$39,2)</f>
        <v>0</v>
      </c>
      <c r="S119" s="68">
        <f>ROUND(L119*tab!J$39,2)</f>
        <v>0</v>
      </c>
      <c r="T119" s="71"/>
      <c r="U119" s="153">
        <v>0</v>
      </c>
      <c r="V119" s="120">
        <f t="shared" si="46"/>
        <v>0</v>
      </c>
      <c r="W119" s="120">
        <f t="shared" si="46"/>
        <v>0</v>
      </c>
      <c r="X119" s="120">
        <f t="shared" si="46"/>
        <v>0</v>
      </c>
      <c r="Y119" s="120">
        <f t="shared" si="37"/>
        <v>0</v>
      </c>
      <c r="Z119" s="120">
        <f t="shared" si="38"/>
        <v>0</v>
      </c>
      <c r="AA119" s="71"/>
      <c r="AB119" s="68">
        <f>+H119*tab!F$42</f>
        <v>0</v>
      </c>
      <c r="AC119" s="68">
        <f>+I119*tab!G$42</f>
        <v>0</v>
      </c>
      <c r="AD119" s="68">
        <f>+J119*tab!H$42</f>
        <v>0</v>
      </c>
      <c r="AE119" s="68">
        <f>+K119*tab!I$42</f>
        <v>0</v>
      </c>
      <c r="AF119" s="68">
        <f>+L119*tab!J$42</f>
        <v>0</v>
      </c>
      <c r="AG119" s="71"/>
      <c r="AH119" s="599">
        <v>0</v>
      </c>
      <c r="AI119" s="120">
        <f t="shared" si="39"/>
        <v>0</v>
      </c>
      <c r="AJ119" s="120">
        <f t="shared" si="40"/>
        <v>0</v>
      </c>
      <c r="AK119" s="120">
        <f t="shared" si="41"/>
        <v>0</v>
      </c>
      <c r="AL119" s="120">
        <f t="shared" si="42"/>
        <v>0</v>
      </c>
      <c r="AM119" s="134"/>
    </row>
    <row r="120" spans="2:39" s="113" customFormat="1" x14ac:dyDescent="0.2">
      <c r="B120" s="133"/>
      <c r="C120" s="150"/>
      <c r="D120" s="50">
        <v>106</v>
      </c>
      <c r="E120" s="1100" t="str">
        <f>+'Li O school'!E120</f>
        <v>school 106</v>
      </c>
      <c r="F120" s="1100" t="str">
        <f>+'Li O school'!F120</f>
        <v>11AA</v>
      </c>
      <c r="G120" s="925">
        <v>0</v>
      </c>
      <c r="H120" s="925">
        <v>0</v>
      </c>
      <c r="I120" s="119">
        <f t="shared" si="45"/>
        <v>0</v>
      </c>
      <c r="J120" s="119">
        <f t="shared" si="45"/>
        <v>0</v>
      </c>
      <c r="K120" s="119">
        <f t="shared" si="35"/>
        <v>0</v>
      </c>
      <c r="L120" s="119">
        <f t="shared" si="36"/>
        <v>0</v>
      </c>
      <c r="M120" s="71"/>
      <c r="N120" s="68">
        <f>ROUND(G120*tab!E$39,2)</f>
        <v>0</v>
      </c>
      <c r="O120" s="68">
        <f>ROUND(H120*tab!F$39,2)</f>
        <v>0</v>
      </c>
      <c r="P120" s="68">
        <f>ROUND(I120*tab!G$39,2)</f>
        <v>0</v>
      </c>
      <c r="Q120" s="68">
        <f>ROUND(J120*tab!H$39,2)</f>
        <v>0</v>
      </c>
      <c r="R120" s="68">
        <f>ROUND(K120*tab!I$39,2)</f>
        <v>0</v>
      </c>
      <c r="S120" s="68">
        <f>ROUND(L120*tab!J$39,2)</f>
        <v>0</v>
      </c>
      <c r="T120" s="71"/>
      <c r="U120" s="153">
        <v>0</v>
      </c>
      <c r="V120" s="120">
        <f t="shared" si="46"/>
        <v>0</v>
      </c>
      <c r="W120" s="120">
        <f t="shared" si="46"/>
        <v>0</v>
      </c>
      <c r="X120" s="120">
        <f t="shared" si="46"/>
        <v>0</v>
      </c>
      <c r="Y120" s="120">
        <f t="shared" si="37"/>
        <v>0</v>
      </c>
      <c r="Z120" s="120">
        <f t="shared" si="38"/>
        <v>0</v>
      </c>
      <c r="AA120" s="71"/>
      <c r="AB120" s="68">
        <f>+H120*tab!F$42</f>
        <v>0</v>
      </c>
      <c r="AC120" s="68">
        <f>+I120*tab!G$42</f>
        <v>0</v>
      </c>
      <c r="AD120" s="68">
        <f>+J120*tab!H$42</f>
        <v>0</v>
      </c>
      <c r="AE120" s="68">
        <f>+K120*tab!I$42</f>
        <v>0</v>
      </c>
      <c r="AF120" s="68">
        <f>+L120*tab!J$42</f>
        <v>0</v>
      </c>
      <c r="AG120" s="71"/>
      <c r="AH120" s="599">
        <v>0</v>
      </c>
      <c r="AI120" s="120">
        <f t="shared" si="39"/>
        <v>0</v>
      </c>
      <c r="AJ120" s="120">
        <f t="shared" si="40"/>
        <v>0</v>
      </c>
      <c r="AK120" s="120">
        <f t="shared" si="41"/>
        <v>0</v>
      </c>
      <c r="AL120" s="120">
        <f t="shared" si="42"/>
        <v>0</v>
      </c>
      <c r="AM120" s="134"/>
    </row>
    <row r="121" spans="2:39" s="113" customFormat="1" x14ac:dyDescent="0.2">
      <c r="B121" s="133"/>
      <c r="C121" s="150"/>
      <c r="D121" s="50">
        <v>107</v>
      </c>
      <c r="E121" s="1100" t="str">
        <f>+'Li O school'!E121</f>
        <v>school 107</v>
      </c>
      <c r="F121" s="1100" t="str">
        <f>+'Li O school'!F121</f>
        <v>11AA</v>
      </c>
      <c r="G121" s="925">
        <v>0</v>
      </c>
      <c r="H121" s="925">
        <v>0</v>
      </c>
      <c r="I121" s="119">
        <f t="shared" si="45"/>
        <v>0</v>
      </c>
      <c r="J121" s="119">
        <f t="shared" si="45"/>
        <v>0</v>
      </c>
      <c r="K121" s="119">
        <f t="shared" si="35"/>
        <v>0</v>
      </c>
      <c r="L121" s="119">
        <f t="shared" si="36"/>
        <v>0</v>
      </c>
      <c r="M121" s="71"/>
      <c r="N121" s="68">
        <f>ROUND(G121*tab!E$39,2)</f>
        <v>0</v>
      </c>
      <c r="O121" s="68">
        <f>ROUND(H121*tab!F$39,2)</f>
        <v>0</v>
      </c>
      <c r="P121" s="68">
        <f>ROUND(I121*tab!G$39,2)</f>
        <v>0</v>
      </c>
      <c r="Q121" s="68">
        <f>ROUND(J121*tab!H$39,2)</f>
        <v>0</v>
      </c>
      <c r="R121" s="68">
        <f>ROUND(K121*tab!I$39,2)</f>
        <v>0</v>
      </c>
      <c r="S121" s="68">
        <f>ROUND(L121*tab!J$39,2)</f>
        <v>0</v>
      </c>
      <c r="T121" s="71"/>
      <c r="U121" s="153">
        <v>0</v>
      </c>
      <c r="V121" s="120">
        <f t="shared" si="46"/>
        <v>0</v>
      </c>
      <c r="W121" s="120">
        <f t="shared" si="46"/>
        <v>0</v>
      </c>
      <c r="X121" s="120">
        <f t="shared" si="46"/>
        <v>0</v>
      </c>
      <c r="Y121" s="120">
        <f t="shared" si="37"/>
        <v>0</v>
      </c>
      <c r="Z121" s="120">
        <f t="shared" si="38"/>
        <v>0</v>
      </c>
      <c r="AA121" s="71"/>
      <c r="AB121" s="68">
        <f>+H121*tab!F$42</f>
        <v>0</v>
      </c>
      <c r="AC121" s="68">
        <f>+I121*tab!G$42</f>
        <v>0</v>
      </c>
      <c r="AD121" s="68">
        <f>+J121*tab!H$42</f>
        <v>0</v>
      </c>
      <c r="AE121" s="68">
        <f>+K121*tab!I$42</f>
        <v>0</v>
      </c>
      <c r="AF121" s="68">
        <f>+L121*tab!J$42</f>
        <v>0</v>
      </c>
      <c r="AG121" s="71"/>
      <c r="AH121" s="599">
        <v>0</v>
      </c>
      <c r="AI121" s="120">
        <f t="shared" si="39"/>
        <v>0</v>
      </c>
      <c r="AJ121" s="120">
        <f t="shared" si="40"/>
        <v>0</v>
      </c>
      <c r="AK121" s="120">
        <f t="shared" si="41"/>
        <v>0</v>
      </c>
      <c r="AL121" s="120">
        <f t="shared" si="42"/>
        <v>0</v>
      </c>
      <c r="AM121" s="134"/>
    </row>
    <row r="122" spans="2:39" s="113" customFormat="1" x14ac:dyDescent="0.2">
      <c r="B122" s="133"/>
      <c r="C122" s="150"/>
      <c r="D122" s="50">
        <v>108</v>
      </c>
      <c r="E122" s="1100" t="str">
        <f>+'Li O school'!E122</f>
        <v>school 108</v>
      </c>
      <c r="F122" s="1100" t="str">
        <f>+'Li O school'!F122</f>
        <v>11AA</v>
      </c>
      <c r="G122" s="925">
        <v>0</v>
      </c>
      <c r="H122" s="925">
        <v>0</v>
      </c>
      <c r="I122" s="119">
        <f t="shared" si="45"/>
        <v>0</v>
      </c>
      <c r="J122" s="119">
        <f t="shared" si="45"/>
        <v>0</v>
      </c>
      <c r="K122" s="119">
        <f t="shared" si="35"/>
        <v>0</v>
      </c>
      <c r="L122" s="119">
        <f t="shared" si="36"/>
        <v>0</v>
      </c>
      <c r="M122" s="71"/>
      <c r="N122" s="68">
        <f>ROUND(G122*tab!E$39,2)</f>
        <v>0</v>
      </c>
      <c r="O122" s="68">
        <f>ROUND(H122*tab!F$39,2)</f>
        <v>0</v>
      </c>
      <c r="P122" s="68">
        <f>ROUND(I122*tab!G$39,2)</f>
        <v>0</v>
      </c>
      <c r="Q122" s="68">
        <f>ROUND(J122*tab!H$39,2)</f>
        <v>0</v>
      </c>
      <c r="R122" s="68">
        <f>ROUND(K122*tab!I$39,2)</f>
        <v>0</v>
      </c>
      <c r="S122" s="68">
        <f>ROUND(L122*tab!J$39,2)</f>
        <v>0</v>
      </c>
      <c r="T122" s="71"/>
      <c r="U122" s="153">
        <v>0</v>
      </c>
      <c r="V122" s="120">
        <f t="shared" si="46"/>
        <v>0</v>
      </c>
      <c r="W122" s="120">
        <f t="shared" si="46"/>
        <v>0</v>
      </c>
      <c r="X122" s="120">
        <f t="shared" si="46"/>
        <v>0</v>
      </c>
      <c r="Y122" s="120">
        <f t="shared" si="37"/>
        <v>0</v>
      </c>
      <c r="Z122" s="120">
        <f t="shared" si="38"/>
        <v>0</v>
      </c>
      <c r="AA122" s="71"/>
      <c r="AB122" s="68">
        <f>+H122*tab!F$42</f>
        <v>0</v>
      </c>
      <c r="AC122" s="68">
        <f>+I122*tab!G$42</f>
        <v>0</v>
      </c>
      <c r="AD122" s="68">
        <f>+J122*tab!H$42</f>
        <v>0</v>
      </c>
      <c r="AE122" s="68">
        <f>+K122*tab!I$42</f>
        <v>0</v>
      </c>
      <c r="AF122" s="68">
        <f>+L122*tab!J$42</f>
        <v>0</v>
      </c>
      <c r="AG122" s="71"/>
      <c r="AH122" s="599">
        <v>0</v>
      </c>
      <c r="AI122" s="120">
        <f t="shared" si="39"/>
        <v>0</v>
      </c>
      <c r="AJ122" s="120">
        <f t="shared" si="40"/>
        <v>0</v>
      </c>
      <c r="AK122" s="120">
        <f t="shared" si="41"/>
        <v>0</v>
      </c>
      <c r="AL122" s="120">
        <f t="shared" si="42"/>
        <v>0</v>
      </c>
      <c r="AM122" s="134"/>
    </row>
    <row r="123" spans="2:39" s="113" customFormat="1" x14ac:dyDescent="0.2">
      <c r="B123" s="133"/>
      <c r="C123" s="150"/>
      <c r="D123" s="50">
        <v>109</v>
      </c>
      <c r="E123" s="1100" t="str">
        <f>+'Li O school'!E123</f>
        <v>school 109</v>
      </c>
      <c r="F123" s="1100" t="str">
        <f>+'Li O school'!F123</f>
        <v>11AA</v>
      </c>
      <c r="G123" s="925">
        <v>0</v>
      </c>
      <c r="H123" s="925">
        <v>0</v>
      </c>
      <c r="I123" s="119">
        <f t="shared" si="45"/>
        <v>0</v>
      </c>
      <c r="J123" s="119">
        <f t="shared" si="45"/>
        <v>0</v>
      </c>
      <c r="K123" s="119">
        <f t="shared" si="35"/>
        <v>0</v>
      </c>
      <c r="L123" s="119">
        <f t="shared" si="36"/>
        <v>0</v>
      </c>
      <c r="M123" s="71"/>
      <c r="N123" s="68">
        <f>ROUND(G123*tab!E$39,2)</f>
        <v>0</v>
      </c>
      <c r="O123" s="68">
        <f>ROUND(H123*tab!F$39,2)</f>
        <v>0</v>
      </c>
      <c r="P123" s="68">
        <f>ROUND(I123*tab!G$39,2)</f>
        <v>0</v>
      </c>
      <c r="Q123" s="68">
        <f>ROUND(J123*tab!H$39,2)</f>
        <v>0</v>
      </c>
      <c r="R123" s="68">
        <f>ROUND(K123*tab!I$39,2)</f>
        <v>0</v>
      </c>
      <c r="S123" s="68">
        <f>ROUND(L123*tab!J$39,2)</f>
        <v>0</v>
      </c>
      <c r="T123" s="71"/>
      <c r="U123" s="153">
        <v>0</v>
      </c>
      <c r="V123" s="120">
        <f t="shared" si="46"/>
        <v>0</v>
      </c>
      <c r="W123" s="120">
        <f t="shared" si="46"/>
        <v>0</v>
      </c>
      <c r="X123" s="120">
        <f t="shared" si="46"/>
        <v>0</v>
      </c>
      <c r="Y123" s="120">
        <f t="shared" si="37"/>
        <v>0</v>
      </c>
      <c r="Z123" s="120">
        <f t="shared" si="38"/>
        <v>0</v>
      </c>
      <c r="AA123" s="71"/>
      <c r="AB123" s="68">
        <f>+H123*tab!F$42</f>
        <v>0</v>
      </c>
      <c r="AC123" s="68">
        <f>+I123*tab!G$42</f>
        <v>0</v>
      </c>
      <c r="AD123" s="68">
        <f>+J123*tab!H$42</f>
        <v>0</v>
      </c>
      <c r="AE123" s="68">
        <f>+K123*tab!I$42</f>
        <v>0</v>
      </c>
      <c r="AF123" s="68">
        <f>+L123*tab!J$42</f>
        <v>0</v>
      </c>
      <c r="AG123" s="71"/>
      <c r="AH123" s="599">
        <v>0</v>
      </c>
      <c r="AI123" s="120">
        <f t="shared" si="39"/>
        <v>0</v>
      </c>
      <c r="AJ123" s="120">
        <f t="shared" si="40"/>
        <v>0</v>
      </c>
      <c r="AK123" s="120">
        <f t="shared" si="41"/>
        <v>0</v>
      </c>
      <c r="AL123" s="120">
        <f t="shared" si="42"/>
        <v>0</v>
      </c>
      <c r="AM123" s="134"/>
    </row>
    <row r="124" spans="2:39" s="113" customFormat="1" x14ac:dyDescent="0.2">
      <c r="B124" s="133"/>
      <c r="C124" s="150"/>
      <c r="D124" s="50">
        <v>110</v>
      </c>
      <c r="E124" s="1100" t="str">
        <f>+'Li O school'!E124</f>
        <v>school 110</v>
      </c>
      <c r="F124" s="1100" t="str">
        <f>+'Li O school'!F124</f>
        <v>11AA</v>
      </c>
      <c r="G124" s="925">
        <v>0</v>
      </c>
      <c r="H124" s="925">
        <v>0</v>
      </c>
      <c r="I124" s="119">
        <f t="shared" si="45"/>
        <v>0</v>
      </c>
      <c r="J124" s="119">
        <f t="shared" si="45"/>
        <v>0</v>
      </c>
      <c r="K124" s="119">
        <f t="shared" si="35"/>
        <v>0</v>
      </c>
      <c r="L124" s="119">
        <f t="shared" si="36"/>
        <v>0</v>
      </c>
      <c r="M124" s="71"/>
      <c r="N124" s="68">
        <f>ROUND(G124*tab!E$39,2)</f>
        <v>0</v>
      </c>
      <c r="O124" s="68">
        <f>ROUND(H124*tab!F$39,2)</f>
        <v>0</v>
      </c>
      <c r="P124" s="68">
        <f>ROUND(I124*tab!G$39,2)</f>
        <v>0</v>
      </c>
      <c r="Q124" s="68">
        <f>ROUND(J124*tab!H$39,2)</f>
        <v>0</v>
      </c>
      <c r="R124" s="68">
        <f>ROUND(K124*tab!I$39,2)</f>
        <v>0</v>
      </c>
      <c r="S124" s="68">
        <f>ROUND(L124*tab!J$39,2)</f>
        <v>0</v>
      </c>
      <c r="T124" s="71"/>
      <c r="U124" s="153">
        <v>0</v>
      </c>
      <c r="V124" s="120">
        <f t="shared" si="46"/>
        <v>0</v>
      </c>
      <c r="W124" s="120">
        <f t="shared" si="46"/>
        <v>0</v>
      </c>
      <c r="X124" s="120">
        <f t="shared" si="46"/>
        <v>0</v>
      </c>
      <c r="Y124" s="120">
        <f t="shared" si="37"/>
        <v>0</v>
      </c>
      <c r="Z124" s="120">
        <f t="shared" si="38"/>
        <v>0</v>
      </c>
      <c r="AA124" s="71"/>
      <c r="AB124" s="68">
        <f>+H124*tab!F$42</f>
        <v>0</v>
      </c>
      <c r="AC124" s="68">
        <f>+I124*tab!G$42</f>
        <v>0</v>
      </c>
      <c r="AD124" s="68">
        <f>+J124*tab!H$42</f>
        <v>0</v>
      </c>
      <c r="AE124" s="68">
        <f>+K124*tab!I$42</f>
        <v>0</v>
      </c>
      <c r="AF124" s="68">
        <f>+L124*tab!J$42</f>
        <v>0</v>
      </c>
      <c r="AG124" s="71"/>
      <c r="AH124" s="599">
        <v>0</v>
      </c>
      <c r="AI124" s="120">
        <f t="shared" si="39"/>
        <v>0</v>
      </c>
      <c r="AJ124" s="120">
        <f t="shared" si="40"/>
        <v>0</v>
      </c>
      <c r="AK124" s="120">
        <f t="shared" si="41"/>
        <v>0</v>
      </c>
      <c r="AL124" s="120">
        <f t="shared" si="42"/>
        <v>0</v>
      </c>
      <c r="AM124" s="134"/>
    </row>
    <row r="125" spans="2:39" s="113" customFormat="1" x14ac:dyDescent="0.2">
      <c r="B125" s="133"/>
      <c r="C125" s="150"/>
      <c r="D125" s="50">
        <v>111</v>
      </c>
      <c r="E125" s="1100" t="str">
        <f>+'Li O school'!E125</f>
        <v>school 111</v>
      </c>
      <c r="F125" s="1100" t="str">
        <f>+'Li O school'!F125</f>
        <v>11AA</v>
      </c>
      <c r="G125" s="925">
        <v>0</v>
      </c>
      <c r="H125" s="925">
        <v>0</v>
      </c>
      <c r="I125" s="119">
        <f t="shared" si="45"/>
        <v>0</v>
      </c>
      <c r="J125" s="119">
        <f t="shared" si="45"/>
        <v>0</v>
      </c>
      <c r="K125" s="119">
        <f t="shared" si="35"/>
        <v>0</v>
      </c>
      <c r="L125" s="119">
        <f t="shared" si="36"/>
        <v>0</v>
      </c>
      <c r="M125" s="71"/>
      <c r="N125" s="68">
        <f>ROUND(G125*tab!E$39,2)</f>
        <v>0</v>
      </c>
      <c r="O125" s="68">
        <f>ROUND(H125*tab!F$39,2)</f>
        <v>0</v>
      </c>
      <c r="P125" s="68">
        <f>ROUND(I125*tab!G$39,2)</f>
        <v>0</v>
      </c>
      <c r="Q125" s="68">
        <f>ROUND(J125*tab!H$39,2)</f>
        <v>0</v>
      </c>
      <c r="R125" s="68">
        <f>ROUND(K125*tab!I$39,2)</f>
        <v>0</v>
      </c>
      <c r="S125" s="68">
        <f>ROUND(L125*tab!J$39,2)</f>
        <v>0</v>
      </c>
      <c r="T125" s="71"/>
      <c r="U125" s="153">
        <v>0</v>
      </c>
      <c r="V125" s="120">
        <f t="shared" si="46"/>
        <v>0</v>
      </c>
      <c r="W125" s="120">
        <f t="shared" si="46"/>
        <v>0</v>
      </c>
      <c r="X125" s="120">
        <f t="shared" si="46"/>
        <v>0</v>
      </c>
      <c r="Y125" s="120">
        <f t="shared" si="37"/>
        <v>0</v>
      </c>
      <c r="Z125" s="120">
        <f t="shared" si="38"/>
        <v>0</v>
      </c>
      <c r="AA125" s="71"/>
      <c r="AB125" s="68">
        <f>+H125*tab!F$42</f>
        <v>0</v>
      </c>
      <c r="AC125" s="68">
        <f>+I125*tab!G$42</f>
        <v>0</v>
      </c>
      <c r="AD125" s="68">
        <f>+J125*tab!H$42</f>
        <v>0</v>
      </c>
      <c r="AE125" s="68">
        <f>+K125*tab!I$42</f>
        <v>0</v>
      </c>
      <c r="AF125" s="68">
        <f>+L125*tab!J$42</f>
        <v>0</v>
      </c>
      <c r="AG125" s="71"/>
      <c r="AH125" s="599">
        <v>0</v>
      </c>
      <c r="AI125" s="120">
        <f t="shared" si="39"/>
        <v>0</v>
      </c>
      <c r="AJ125" s="120">
        <f t="shared" si="40"/>
        <v>0</v>
      </c>
      <c r="AK125" s="120">
        <f t="shared" si="41"/>
        <v>0</v>
      </c>
      <c r="AL125" s="120">
        <f t="shared" si="42"/>
        <v>0</v>
      </c>
      <c r="AM125" s="134"/>
    </row>
    <row r="126" spans="2:39" s="113" customFormat="1" x14ac:dyDescent="0.2">
      <c r="B126" s="133"/>
      <c r="C126" s="150"/>
      <c r="D126" s="50">
        <v>112</v>
      </c>
      <c r="E126" s="1100" t="str">
        <f>+'Li O school'!E126</f>
        <v>school 112</v>
      </c>
      <c r="F126" s="1100" t="str">
        <f>+'Li O school'!F126</f>
        <v>11AA</v>
      </c>
      <c r="G126" s="925">
        <v>0</v>
      </c>
      <c r="H126" s="925">
        <v>0</v>
      </c>
      <c r="I126" s="119">
        <f t="shared" si="45"/>
        <v>0</v>
      </c>
      <c r="J126" s="119">
        <f t="shared" si="45"/>
        <v>0</v>
      </c>
      <c r="K126" s="119">
        <f t="shared" si="35"/>
        <v>0</v>
      </c>
      <c r="L126" s="119">
        <f t="shared" si="36"/>
        <v>0</v>
      </c>
      <c r="M126" s="71"/>
      <c r="N126" s="68">
        <f>ROUND(G126*tab!E$39,2)</f>
        <v>0</v>
      </c>
      <c r="O126" s="68">
        <f>ROUND(H126*tab!F$39,2)</f>
        <v>0</v>
      </c>
      <c r="P126" s="68">
        <f>ROUND(I126*tab!G$39,2)</f>
        <v>0</v>
      </c>
      <c r="Q126" s="68">
        <f>ROUND(J126*tab!H$39,2)</f>
        <v>0</v>
      </c>
      <c r="R126" s="68">
        <f>ROUND(K126*tab!I$39,2)</f>
        <v>0</v>
      </c>
      <c r="S126" s="68">
        <f>ROUND(L126*tab!J$39,2)</f>
        <v>0</v>
      </c>
      <c r="T126" s="71"/>
      <c r="U126" s="153">
        <v>0</v>
      </c>
      <c r="V126" s="120">
        <f t="shared" si="46"/>
        <v>0</v>
      </c>
      <c r="W126" s="120">
        <f t="shared" si="46"/>
        <v>0</v>
      </c>
      <c r="X126" s="120">
        <f t="shared" si="46"/>
        <v>0</v>
      </c>
      <c r="Y126" s="120">
        <f t="shared" si="37"/>
        <v>0</v>
      </c>
      <c r="Z126" s="120">
        <f t="shared" si="38"/>
        <v>0</v>
      </c>
      <c r="AA126" s="71"/>
      <c r="AB126" s="68">
        <f>+H126*tab!F$42</f>
        <v>0</v>
      </c>
      <c r="AC126" s="68">
        <f>+I126*tab!G$42</f>
        <v>0</v>
      </c>
      <c r="AD126" s="68">
        <f>+J126*tab!H$42</f>
        <v>0</v>
      </c>
      <c r="AE126" s="68">
        <f>+K126*tab!I$42</f>
        <v>0</v>
      </c>
      <c r="AF126" s="68">
        <f>+L126*tab!J$42</f>
        <v>0</v>
      </c>
      <c r="AG126" s="71"/>
      <c r="AH126" s="599">
        <v>0</v>
      </c>
      <c r="AI126" s="120">
        <f t="shared" si="39"/>
        <v>0</v>
      </c>
      <c r="AJ126" s="120">
        <f t="shared" si="40"/>
        <v>0</v>
      </c>
      <c r="AK126" s="120">
        <f t="shared" si="41"/>
        <v>0</v>
      </c>
      <c r="AL126" s="120">
        <f t="shared" si="42"/>
        <v>0</v>
      </c>
      <c r="AM126" s="134"/>
    </row>
    <row r="127" spans="2:39" s="113" customFormat="1" x14ac:dyDescent="0.2">
      <c r="B127" s="133"/>
      <c r="C127" s="150"/>
      <c r="D127" s="50">
        <v>113</v>
      </c>
      <c r="E127" s="1100" t="str">
        <f>+'Li O school'!E127</f>
        <v>school 113</v>
      </c>
      <c r="F127" s="1100" t="str">
        <f>+'Li O school'!F127</f>
        <v>11AA</v>
      </c>
      <c r="G127" s="925">
        <v>0</v>
      </c>
      <c r="H127" s="925">
        <v>0</v>
      </c>
      <c r="I127" s="119">
        <f t="shared" si="45"/>
        <v>0</v>
      </c>
      <c r="J127" s="119">
        <f t="shared" si="45"/>
        <v>0</v>
      </c>
      <c r="K127" s="119">
        <f t="shared" si="35"/>
        <v>0</v>
      </c>
      <c r="L127" s="119">
        <f t="shared" si="36"/>
        <v>0</v>
      </c>
      <c r="M127" s="71"/>
      <c r="N127" s="68">
        <f>ROUND(G127*tab!E$39,2)</f>
        <v>0</v>
      </c>
      <c r="O127" s="68">
        <f>ROUND(H127*tab!F$39,2)</f>
        <v>0</v>
      </c>
      <c r="P127" s="68">
        <f>ROUND(I127*tab!G$39,2)</f>
        <v>0</v>
      </c>
      <c r="Q127" s="68">
        <f>ROUND(J127*tab!H$39,2)</f>
        <v>0</v>
      </c>
      <c r="R127" s="68">
        <f>ROUND(K127*tab!I$39,2)</f>
        <v>0</v>
      </c>
      <c r="S127" s="68">
        <f>ROUND(L127*tab!J$39,2)</f>
        <v>0</v>
      </c>
      <c r="T127" s="71"/>
      <c r="U127" s="153">
        <v>0</v>
      </c>
      <c r="V127" s="120">
        <f t="shared" si="46"/>
        <v>0</v>
      </c>
      <c r="W127" s="120">
        <f t="shared" si="46"/>
        <v>0</v>
      </c>
      <c r="X127" s="120">
        <f t="shared" si="46"/>
        <v>0</v>
      </c>
      <c r="Y127" s="120">
        <f t="shared" si="37"/>
        <v>0</v>
      </c>
      <c r="Z127" s="120">
        <f t="shared" si="38"/>
        <v>0</v>
      </c>
      <c r="AA127" s="71"/>
      <c r="AB127" s="68">
        <f>+H127*tab!F$42</f>
        <v>0</v>
      </c>
      <c r="AC127" s="68">
        <f>+I127*tab!G$42</f>
        <v>0</v>
      </c>
      <c r="AD127" s="68">
        <f>+J127*tab!H$42</f>
        <v>0</v>
      </c>
      <c r="AE127" s="68">
        <f>+K127*tab!I$42</f>
        <v>0</v>
      </c>
      <c r="AF127" s="68">
        <f>+L127*tab!J$42</f>
        <v>0</v>
      </c>
      <c r="AG127" s="71"/>
      <c r="AH127" s="599">
        <v>0</v>
      </c>
      <c r="AI127" s="120">
        <f t="shared" si="39"/>
        <v>0</v>
      </c>
      <c r="AJ127" s="120">
        <f t="shared" si="40"/>
        <v>0</v>
      </c>
      <c r="AK127" s="120">
        <f t="shared" si="41"/>
        <v>0</v>
      </c>
      <c r="AL127" s="120">
        <f t="shared" si="42"/>
        <v>0</v>
      </c>
      <c r="AM127" s="134"/>
    </row>
    <row r="128" spans="2:39" s="113" customFormat="1" x14ac:dyDescent="0.2">
      <c r="B128" s="133"/>
      <c r="C128" s="150"/>
      <c r="D128" s="50">
        <v>114</v>
      </c>
      <c r="E128" s="1100" t="str">
        <f>+'Li O school'!E128</f>
        <v>school 114</v>
      </c>
      <c r="F128" s="1100" t="str">
        <f>+'Li O school'!F128</f>
        <v>11AA</v>
      </c>
      <c r="G128" s="925">
        <v>0</v>
      </c>
      <c r="H128" s="925">
        <v>0</v>
      </c>
      <c r="I128" s="119">
        <f t="shared" si="45"/>
        <v>0</v>
      </c>
      <c r="J128" s="119">
        <f t="shared" si="45"/>
        <v>0</v>
      </c>
      <c r="K128" s="119">
        <f t="shared" si="35"/>
        <v>0</v>
      </c>
      <c r="L128" s="119">
        <f t="shared" si="36"/>
        <v>0</v>
      </c>
      <c r="M128" s="71"/>
      <c r="N128" s="68">
        <f>ROUND(G128*tab!E$39,2)</f>
        <v>0</v>
      </c>
      <c r="O128" s="68">
        <f>ROUND(H128*tab!F$39,2)</f>
        <v>0</v>
      </c>
      <c r="P128" s="68">
        <f>ROUND(I128*tab!G$39,2)</f>
        <v>0</v>
      </c>
      <c r="Q128" s="68">
        <f>ROUND(J128*tab!H$39,2)</f>
        <v>0</v>
      </c>
      <c r="R128" s="68">
        <f>ROUND(K128*tab!I$39,2)</f>
        <v>0</v>
      </c>
      <c r="S128" s="68">
        <f>ROUND(L128*tab!J$39,2)</f>
        <v>0</v>
      </c>
      <c r="T128" s="71"/>
      <c r="U128" s="153">
        <v>0</v>
      </c>
      <c r="V128" s="120">
        <f t="shared" si="46"/>
        <v>0</v>
      </c>
      <c r="W128" s="120">
        <f t="shared" si="46"/>
        <v>0</v>
      </c>
      <c r="X128" s="120">
        <f t="shared" si="46"/>
        <v>0</v>
      </c>
      <c r="Y128" s="120">
        <f t="shared" si="37"/>
        <v>0</v>
      </c>
      <c r="Z128" s="120">
        <f t="shared" si="38"/>
        <v>0</v>
      </c>
      <c r="AA128" s="71"/>
      <c r="AB128" s="68">
        <f>+H128*tab!F$42</f>
        <v>0</v>
      </c>
      <c r="AC128" s="68">
        <f>+I128*tab!G$42</f>
        <v>0</v>
      </c>
      <c r="AD128" s="68">
        <f>+J128*tab!H$42</f>
        <v>0</v>
      </c>
      <c r="AE128" s="68">
        <f>+K128*tab!I$42</f>
        <v>0</v>
      </c>
      <c r="AF128" s="68">
        <f>+L128*tab!J$42</f>
        <v>0</v>
      </c>
      <c r="AG128" s="71"/>
      <c r="AH128" s="599">
        <v>0</v>
      </c>
      <c r="AI128" s="120">
        <f t="shared" si="39"/>
        <v>0</v>
      </c>
      <c r="AJ128" s="120">
        <f t="shared" si="40"/>
        <v>0</v>
      </c>
      <c r="AK128" s="120">
        <f t="shared" si="41"/>
        <v>0</v>
      </c>
      <c r="AL128" s="120">
        <f t="shared" si="42"/>
        <v>0</v>
      </c>
      <c r="AM128" s="134"/>
    </row>
    <row r="129" spans="2:39" s="113" customFormat="1" x14ac:dyDescent="0.2">
      <c r="B129" s="133"/>
      <c r="C129" s="150"/>
      <c r="D129" s="50">
        <v>115</v>
      </c>
      <c r="E129" s="1100" t="str">
        <f>+'Li O school'!E129</f>
        <v>school 115</v>
      </c>
      <c r="F129" s="1100" t="str">
        <f>+'Li O school'!F129</f>
        <v>11AA</v>
      </c>
      <c r="G129" s="925">
        <v>0</v>
      </c>
      <c r="H129" s="925">
        <v>0</v>
      </c>
      <c r="I129" s="119">
        <f t="shared" si="45"/>
        <v>0</v>
      </c>
      <c r="J129" s="119">
        <f t="shared" si="45"/>
        <v>0</v>
      </c>
      <c r="K129" s="119">
        <f t="shared" si="35"/>
        <v>0</v>
      </c>
      <c r="L129" s="119">
        <f t="shared" si="36"/>
        <v>0</v>
      </c>
      <c r="M129" s="71"/>
      <c r="N129" s="68">
        <f>ROUND(G129*tab!E$39,2)</f>
        <v>0</v>
      </c>
      <c r="O129" s="68">
        <f>ROUND(H129*tab!F$39,2)</f>
        <v>0</v>
      </c>
      <c r="P129" s="68">
        <f>ROUND(I129*tab!G$39,2)</f>
        <v>0</v>
      </c>
      <c r="Q129" s="68">
        <f>ROUND(J129*tab!H$39,2)</f>
        <v>0</v>
      </c>
      <c r="R129" s="68">
        <f>ROUND(K129*tab!I$39,2)</f>
        <v>0</v>
      </c>
      <c r="S129" s="68">
        <f>ROUND(L129*tab!J$39,2)</f>
        <v>0</v>
      </c>
      <c r="T129" s="71"/>
      <c r="U129" s="153">
        <v>0</v>
      </c>
      <c r="V129" s="120">
        <f t="shared" si="46"/>
        <v>0</v>
      </c>
      <c r="W129" s="120">
        <f t="shared" si="46"/>
        <v>0</v>
      </c>
      <c r="X129" s="120">
        <f t="shared" si="46"/>
        <v>0</v>
      </c>
      <c r="Y129" s="120">
        <f t="shared" si="37"/>
        <v>0</v>
      </c>
      <c r="Z129" s="120">
        <f t="shared" si="38"/>
        <v>0</v>
      </c>
      <c r="AA129" s="71"/>
      <c r="AB129" s="68">
        <f>+H129*tab!F$42</f>
        <v>0</v>
      </c>
      <c r="AC129" s="68">
        <f>+I129*tab!G$42</f>
        <v>0</v>
      </c>
      <c r="AD129" s="68">
        <f>+J129*tab!H$42</f>
        <v>0</v>
      </c>
      <c r="AE129" s="68">
        <f>+K129*tab!I$42</f>
        <v>0</v>
      </c>
      <c r="AF129" s="68">
        <f>+L129*tab!J$42</f>
        <v>0</v>
      </c>
      <c r="AG129" s="71"/>
      <c r="AH129" s="599">
        <v>0</v>
      </c>
      <c r="AI129" s="120">
        <f t="shared" si="39"/>
        <v>0</v>
      </c>
      <c r="AJ129" s="120">
        <f t="shared" si="40"/>
        <v>0</v>
      </c>
      <c r="AK129" s="120">
        <f t="shared" si="41"/>
        <v>0</v>
      </c>
      <c r="AL129" s="120">
        <f t="shared" si="42"/>
        <v>0</v>
      </c>
      <c r="AM129" s="134"/>
    </row>
    <row r="130" spans="2:39" s="113" customFormat="1" x14ac:dyDescent="0.2">
      <c r="B130" s="133"/>
      <c r="C130" s="150"/>
      <c r="D130" s="50">
        <v>116</v>
      </c>
      <c r="E130" s="1100" t="str">
        <f>+'Li O school'!E130</f>
        <v>school 116</v>
      </c>
      <c r="F130" s="1100" t="str">
        <f>+'Li O school'!F130</f>
        <v>11AA</v>
      </c>
      <c r="G130" s="925">
        <v>0</v>
      </c>
      <c r="H130" s="925">
        <v>0</v>
      </c>
      <c r="I130" s="119">
        <f t="shared" si="45"/>
        <v>0</v>
      </c>
      <c r="J130" s="119">
        <f t="shared" si="45"/>
        <v>0</v>
      </c>
      <c r="K130" s="119">
        <f t="shared" si="35"/>
        <v>0</v>
      </c>
      <c r="L130" s="119">
        <f t="shared" si="36"/>
        <v>0</v>
      </c>
      <c r="M130" s="71"/>
      <c r="N130" s="68">
        <f>ROUND(G130*tab!E$39,2)</f>
        <v>0</v>
      </c>
      <c r="O130" s="68">
        <f>ROUND(H130*tab!F$39,2)</f>
        <v>0</v>
      </c>
      <c r="P130" s="68">
        <f>ROUND(I130*tab!G$39,2)</f>
        <v>0</v>
      </c>
      <c r="Q130" s="68">
        <f>ROUND(J130*tab!H$39,2)</f>
        <v>0</v>
      </c>
      <c r="R130" s="68">
        <f>ROUND(K130*tab!I$39,2)</f>
        <v>0</v>
      </c>
      <c r="S130" s="68">
        <f>ROUND(L130*tab!J$39,2)</f>
        <v>0</v>
      </c>
      <c r="T130" s="71"/>
      <c r="U130" s="153">
        <v>0</v>
      </c>
      <c r="V130" s="120">
        <f t="shared" si="46"/>
        <v>0</v>
      </c>
      <c r="W130" s="120">
        <f t="shared" si="46"/>
        <v>0</v>
      </c>
      <c r="X130" s="120">
        <f t="shared" si="46"/>
        <v>0</v>
      </c>
      <c r="Y130" s="120">
        <f t="shared" si="37"/>
        <v>0</v>
      </c>
      <c r="Z130" s="120">
        <f t="shared" si="38"/>
        <v>0</v>
      </c>
      <c r="AA130" s="71"/>
      <c r="AB130" s="68">
        <f>+H130*tab!F$42</f>
        <v>0</v>
      </c>
      <c r="AC130" s="68">
        <f>+I130*tab!G$42</f>
        <v>0</v>
      </c>
      <c r="AD130" s="68">
        <f>+J130*tab!H$42</f>
        <v>0</v>
      </c>
      <c r="AE130" s="68">
        <f>+K130*tab!I$42</f>
        <v>0</v>
      </c>
      <c r="AF130" s="68">
        <f>+L130*tab!J$42</f>
        <v>0</v>
      </c>
      <c r="AG130" s="71"/>
      <c r="AH130" s="599">
        <v>0</v>
      </c>
      <c r="AI130" s="120">
        <f t="shared" si="39"/>
        <v>0</v>
      </c>
      <c r="AJ130" s="120">
        <f t="shared" si="40"/>
        <v>0</v>
      </c>
      <c r="AK130" s="120">
        <f t="shared" si="41"/>
        <v>0</v>
      </c>
      <c r="AL130" s="120">
        <f t="shared" si="42"/>
        <v>0</v>
      </c>
      <c r="AM130" s="134"/>
    </row>
    <row r="131" spans="2:39" s="113" customFormat="1" x14ac:dyDescent="0.2">
      <c r="B131" s="133"/>
      <c r="C131" s="150"/>
      <c r="D131" s="50">
        <v>117</v>
      </c>
      <c r="E131" s="1100" t="str">
        <f>+'Li O school'!E131</f>
        <v>school 117</v>
      </c>
      <c r="F131" s="1100" t="str">
        <f>+'Li O school'!F131</f>
        <v>11AA</v>
      </c>
      <c r="G131" s="925">
        <v>0</v>
      </c>
      <c r="H131" s="925">
        <v>0</v>
      </c>
      <c r="I131" s="119">
        <f t="shared" si="45"/>
        <v>0</v>
      </c>
      <c r="J131" s="119">
        <f t="shared" si="45"/>
        <v>0</v>
      </c>
      <c r="K131" s="119">
        <f t="shared" si="35"/>
        <v>0</v>
      </c>
      <c r="L131" s="119">
        <f t="shared" si="36"/>
        <v>0</v>
      </c>
      <c r="M131" s="71"/>
      <c r="N131" s="68">
        <f>ROUND(G131*tab!E$39,2)</f>
        <v>0</v>
      </c>
      <c r="O131" s="68">
        <f>ROUND(H131*tab!F$39,2)</f>
        <v>0</v>
      </c>
      <c r="P131" s="68">
        <f>ROUND(I131*tab!G$39,2)</f>
        <v>0</v>
      </c>
      <c r="Q131" s="68">
        <f>ROUND(J131*tab!H$39,2)</f>
        <v>0</v>
      </c>
      <c r="R131" s="68">
        <f>ROUND(K131*tab!I$39,2)</f>
        <v>0</v>
      </c>
      <c r="S131" s="68">
        <f>ROUND(L131*tab!J$39,2)</f>
        <v>0</v>
      </c>
      <c r="T131" s="71"/>
      <c r="U131" s="153">
        <v>0</v>
      </c>
      <c r="V131" s="120">
        <f t="shared" si="46"/>
        <v>0</v>
      </c>
      <c r="W131" s="120">
        <f t="shared" si="46"/>
        <v>0</v>
      </c>
      <c r="X131" s="120">
        <f t="shared" si="46"/>
        <v>0</v>
      </c>
      <c r="Y131" s="120">
        <f t="shared" si="37"/>
        <v>0</v>
      </c>
      <c r="Z131" s="120">
        <f t="shared" si="38"/>
        <v>0</v>
      </c>
      <c r="AA131" s="71"/>
      <c r="AB131" s="68">
        <f>+H131*tab!F$42</f>
        <v>0</v>
      </c>
      <c r="AC131" s="68">
        <f>+I131*tab!G$42</f>
        <v>0</v>
      </c>
      <c r="AD131" s="68">
        <f>+J131*tab!H$42</f>
        <v>0</v>
      </c>
      <c r="AE131" s="68">
        <f>+K131*tab!I$42</f>
        <v>0</v>
      </c>
      <c r="AF131" s="68">
        <f>+L131*tab!J$42</f>
        <v>0</v>
      </c>
      <c r="AG131" s="71"/>
      <c r="AH131" s="599">
        <v>0</v>
      </c>
      <c r="AI131" s="120">
        <f t="shared" si="39"/>
        <v>0</v>
      </c>
      <c r="AJ131" s="120">
        <f t="shared" si="40"/>
        <v>0</v>
      </c>
      <c r="AK131" s="120">
        <f t="shared" si="41"/>
        <v>0</v>
      </c>
      <c r="AL131" s="120">
        <f t="shared" si="42"/>
        <v>0</v>
      </c>
      <c r="AM131" s="134"/>
    </row>
    <row r="132" spans="2:39" s="113" customFormat="1" x14ac:dyDescent="0.2">
      <c r="B132" s="133"/>
      <c r="C132" s="150"/>
      <c r="D132" s="50">
        <v>118</v>
      </c>
      <c r="E132" s="1100" t="str">
        <f>+'Li O school'!E132</f>
        <v>school 118</v>
      </c>
      <c r="F132" s="1100" t="str">
        <f>+'Li O school'!F132</f>
        <v>11AA</v>
      </c>
      <c r="G132" s="925">
        <v>0</v>
      </c>
      <c r="H132" s="925">
        <v>0</v>
      </c>
      <c r="I132" s="119">
        <f t="shared" si="45"/>
        <v>0</v>
      </c>
      <c r="J132" s="119">
        <f t="shared" si="45"/>
        <v>0</v>
      </c>
      <c r="K132" s="119">
        <f t="shared" si="35"/>
        <v>0</v>
      </c>
      <c r="L132" s="119">
        <f t="shared" si="36"/>
        <v>0</v>
      </c>
      <c r="M132" s="71"/>
      <c r="N132" s="68">
        <f>ROUND(G132*tab!E$39,2)</f>
        <v>0</v>
      </c>
      <c r="O132" s="68">
        <f>ROUND(H132*tab!F$39,2)</f>
        <v>0</v>
      </c>
      <c r="P132" s="68">
        <f>ROUND(I132*tab!G$39,2)</f>
        <v>0</v>
      </c>
      <c r="Q132" s="68">
        <f>ROUND(J132*tab!H$39,2)</f>
        <v>0</v>
      </c>
      <c r="R132" s="68">
        <f>ROUND(K132*tab!I$39,2)</f>
        <v>0</v>
      </c>
      <c r="S132" s="68">
        <f>ROUND(L132*tab!J$39,2)</f>
        <v>0</v>
      </c>
      <c r="T132" s="71"/>
      <c r="U132" s="153">
        <v>0</v>
      </c>
      <c r="V132" s="120">
        <f t="shared" si="46"/>
        <v>0</v>
      </c>
      <c r="W132" s="120">
        <f t="shared" si="46"/>
        <v>0</v>
      </c>
      <c r="X132" s="120">
        <f t="shared" si="46"/>
        <v>0</v>
      </c>
      <c r="Y132" s="120">
        <f t="shared" si="37"/>
        <v>0</v>
      </c>
      <c r="Z132" s="120">
        <f t="shared" si="38"/>
        <v>0</v>
      </c>
      <c r="AA132" s="71"/>
      <c r="AB132" s="68">
        <f>+H132*tab!F$42</f>
        <v>0</v>
      </c>
      <c r="AC132" s="68">
        <f>+I132*tab!G$42</f>
        <v>0</v>
      </c>
      <c r="AD132" s="68">
        <f>+J132*tab!H$42</f>
        <v>0</v>
      </c>
      <c r="AE132" s="68">
        <f>+K132*tab!I$42</f>
        <v>0</v>
      </c>
      <c r="AF132" s="68">
        <f>+L132*tab!J$42</f>
        <v>0</v>
      </c>
      <c r="AG132" s="71"/>
      <c r="AH132" s="599">
        <v>0</v>
      </c>
      <c r="AI132" s="120">
        <f t="shared" si="39"/>
        <v>0</v>
      </c>
      <c r="AJ132" s="120">
        <f t="shared" si="40"/>
        <v>0</v>
      </c>
      <c r="AK132" s="120">
        <f t="shared" si="41"/>
        <v>0</v>
      </c>
      <c r="AL132" s="120">
        <f t="shared" si="42"/>
        <v>0</v>
      </c>
      <c r="AM132" s="134"/>
    </row>
    <row r="133" spans="2:39" s="113" customFormat="1" x14ac:dyDescent="0.2">
      <c r="B133" s="133"/>
      <c r="C133" s="150"/>
      <c r="D133" s="50">
        <v>119</v>
      </c>
      <c r="E133" s="1100" t="str">
        <f>+'Li O school'!E133</f>
        <v>school 119</v>
      </c>
      <c r="F133" s="1100" t="str">
        <f>+'Li O school'!F133</f>
        <v>11AA</v>
      </c>
      <c r="G133" s="925">
        <v>0</v>
      </c>
      <c r="H133" s="925">
        <v>0</v>
      </c>
      <c r="I133" s="119">
        <f t="shared" si="45"/>
        <v>0</v>
      </c>
      <c r="J133" s="119">
        <f t="shared" si="45"/>
        <v>0</v>
      </c>
      <c r="K133" s="119">
        <f t="shared" si="35"/>
        <v>0</v>
      </c>
      <c r="L133" s="119">
        <f t="shared" si="36"/>
        <v>0</v>
      </c>
      <c r="M133" s="71"/>
      <c r="N133" s="68">
        <f>ROUND(G133*tab!E$39,2)</f>
        <v>0</v>
      </c>
      <c r="O133" s="68">
        <f>ROUND(H133*tab!F$39,2)</f>
        <v>0</v>
      </c>
      <c r="P133" s="68">
        <f>ROUND(I133*tab!G$39,2)</f>
        <v>0</v>
      </c>
      <c r="Q133" s="68">
        <f>ROUND(J133*tab!H$39,2)</f>
        <v>0</v>
      </c>
      <c r="R133" s="68">
        <f>ROUND(K133*tab!I$39,2)</f>
        <v>0</v>
      </c>
      <c r="S133" s="68">
        <f>ROUND(L133*tab!J$39,2)</f>
        <v>0</v>
      </c>
      <c r="T133" s="71"/>
      <c r="U133" s="153">
        <v>0</v>
      </c>
      <c r="V133" s="120">
        <f t="shared" si="46"/>
        <v>0</v>
      </c>
      <c r="W133" s="120">
        <f t="shared" si="46"/>
        <v>0</v>
      </c>
      <c r="X133" s="120">
        <f t="shared" si="46"/>
        <v>0</v>
      </c>
      <c r="Y133" s="120">
        <f t="shared" si="37"/>
        <v>0</v>
      </c>
      <c r="Z133" s="120">
        <f t="shared" si="38"/>
        <v>0</v>
      </c>
      <c r="AA133" s="71"/>
      <c r="AB133" s="68">
        <f>+H133*tab!F$42</f>
        <v>0</v>
      </c>
      <c r="AC133" s="68">
        <f>+I133*tab!G$42</f>
        <v>0</v>
      </c>
      <c r="AD133" s="68">
        <f>+J133*tab!H$42</f>
        <v>0</v>
      </c>
      <c r="AE133" s="68">
        <f>+K133*tab!I$42</f>
        <v>0</v>
      </c>
      <c r="AF133" s="68">
        <f>+L133*tab!J$42</f>
        <v>0</v>
      </c>
      <c r="AG133" s="71"/>
      <c r="AH133" s="599">
        <v>0</v>
      </c>
      <c r="AI133" s="120">
        <f t="shared" si="39"/>
        <v>0</v>
      </c>
      <c r="AJ133" s="120">
        <f t="shared" si="40"/>
        <v>0</v>
      </c>
      <c r="AK133" s="120">
        <f t="shared" si="41"/>
        <v>0</v>
      </c>
      <c r="AL133" s="120">
        <f t="shared" si="42"/>
        <v>0</v>
      </c>
      <c r="AM133" s="134"/>
    </row>
    <row r="134" spans="2:39" s="113" customFormat="1" x14ac:dyDescent="0.2">
      <c r="B134" s="133"/>
      <c r="C134" s="150"/>
      <c r="D134" s="50">
        <v>120</v>
      </c>
      <c r="E134" s="1100" t="str">
        <f>+'Li O school'!E134</f>
        <v>school 120</v>
      </c>
      <c r="F134" s="1100" t="str">
        <f>+'Li O school'!F134</f>
        <v>11AA</v>
      </c>
      <c r="G134" s="925">
        <v>0</v>
      </c>
      <c r="H134" s="925">
        <v>0</v>
      </c>
      <c r="I134" s="119">
        <f t="shared" si="45"/>
        <v>0</v>
      </c>
      <c r="J134" s="119">
        <f t="shared" si="45"/>
        <v>0</v>
      </c>
      <c r="K134" s="119">
        <f t="shared" si="35"/>
        <v>0</v>
      </c>
      <c r="L134" s="119">
        <f t="shared" si="36"/>
        <v>0</v>
      </c>
      <c r="M134" s="71"/>
      <c r="N134" s="68">
        <f>ROUND(G134*tab!E$39,2)</f>
        <v>0</v>
      </c>
      <c r="O134" s="68">
        <f>ROUND(H134*tab!F$39,2)</f>
        <v>0</v>
      </c>
      <c r="P134" s="68">
        <f>ROUND(I134*tab!G$39,2)</f>
        <v>0</v>
      </c>
      <c r="Q134" s="68">
        <f>ROUND(J134*tab!H$39,2)</f>
        <v>0</v>
      </c>
      <c r="R134" s="68">
        <f>ROUND(K134*tab!I$39,2)</f>
        <v>0</v>
      </c>
      <c r="S134" s="68">
        <f>ROUND(L134*tab!J$39,2)</f>
        <v>0</v>
      </c>
      <c r="T134" s="71"/>
      <c r="U134" s="153">
        <v>0</v>
      </c>
      <c r="V134" s="120">
        <f t="shared" si="46"/>
        <v>0</v>
      </c>
      <c r="W134" s="120">
        <f t="shared" si="46"/>
        <v>0</v>
      </c>
      <c r="X134" s="120">
        <f t="shared" si="46"/>
        <v>0</v>
      </c>
      <c r="Y134" s="120">
        <f t="shared" si="37"/>
        <v>0</v>
      </c>
      <c r="Z134" s="120">
        <f t="shared" si="38"/>
        <v>0</v>
      </c>
      <c r="AA134" s="71"/>
      <c r="AB134" s="68">
        <f>+H134*tab!F$42</f>
        <v>0</v>
      </c>
      <c r="AC134" s="68">
        <f>+I134*tab!G$42</f>
        <v>0</v>
      </c>
      <c r="AD134" s="68">
        <f>+J134*tab!H$42</f>
        <v>0</v>
      </c>
      <c r="AE134" s="68">
        <f>+K134*tab!I$42</f>
        <v>0</v>
      </c>
      <c r="AF134" s="68">
        <f>+L134*tab!J$42</f>
        <v>0</v>
      </c>
      <c r="AG134" s="71"/>
      <c r="AH134" s="599">
        <v>0</v>
      </c>
      <c r="AI134" s="120">
        <f t="shared" si="39"/>
        <v>0</v>
      </c>
      <c r="AJ134" s="120">
        <f t="shared" si="40"/>
        <v>0</v>
      </c>
      <c r="AK134" s="120">
        <f t="shared" si="41"/>
        <v>0</v>
      </c>
      <c r="AL134" s="120">
        <f t="shared" si="42"/>
        <v>0</v>
      </c>
      <c r="AM134" s="134"/>
    </row>
    <row r="135" spans="2:39" s="113" customFormat="1" x14ac:dyDescent="0.2">
      <c r="B135" s="133"/>
      <c r="C135" s="150"/>
      <c r="D135" s="50">
        <v>121</v>
      </c>
      <c r="E135" s="1100" t="str">
        <f>+'Li O school'!E135</f>
        <v>school 121</v>
      </c>
      <c r="F135" s="1100" t="str">
        <f>+'Li O school'!F135</f>
        <v>11AA</v>
      </c>
      <c r="G135" s="925">
        <v>0</v>
      </c>
      <c r="H135" s="925">
        <v>0</v>
      </c>
      <c r="I135" s="119">
        <f t="shared" ref="I135:J139" si="47">H135</f>
        <v>0</v>
      </c>
      <c r="J135" s="119">
        <f t="shared" si="47"/>
        <v>0</v>
      </c>
      <c r="K135" s="119">
        <f t="shared" si="35"/>
        <v>0</v>
      </c>
      <c r="L135" s="119">
        <f t="shared" si="36"/>
        <v>0</v>
      </c>
      <c r="M135" s="71"/>
      <c r="N135" s="68">
        <f>ROUND(G135*tab!E$39,2)</f>
        <v>0</v>
      </c>
      <c r="O135" s="68">
        <f>ROUND(H135*tab!F$39,2)</f>
        <v>0</v>
      </c>
      <c r="P135" s="68">
        <f>ROUND(I135*tab!G$39,2)</f>
        <v>0</v>
      </c>
      <c r="Q135" s="68">
        <f>ROUND(J135*tab!H$39,2)</f>
        <v>0</v>
      </c>
      <c r="R135" s="68">
        <f>ROUND(K135*tab!I$39,2)</f>
        <v>0</v>
      </c>
      <c r="S135" s="68">
        <f>ROUND(L135*tab!J$39,2)</f>
        <v>0</v>
      </c>
      <c r="T135" s="71"/>
      <c r="U135" s="153">
        <v>0</v>
      </c>
      <c r="V135" s="120">
        <f t="shared" ref="V135:X139" si="48">U135</f>
        <v>0</v>
      </c>
      <c r="W135" s="120">
        <f t="shared" si="48"/>
        <v>0</v>
      </c>
      <c r="X135" s="120">
        <f t="shared" si="48"/>
        <v>0</v>
      </c>
      <c r="Y135" s="120">
        <f t="shared" si="37"/>
        <v>0</v>
      </c>
      <c r="Z135" s="120">
        <f t="shared" si="38"/>
        <v>0</v>
      </c>
      <c r="AA135" s="71"/>
      <c r="AB135" s="68">
        <f>+H135*tab!F$42</f>
        <v>0</v>
      </c>
      <c r="AC135" s="68">
        <f>+I135*tab!G$42</f>
        <v>0</v>
      </c>
      <c r="AD135" s="68">
        <f>+J135*tab!H$42</f>
        <v>0</v>
      </c>
      <c r="AE135" s="68">
        <f>+K135*tab!I$42</f>
        <v>0</v>
      </c>
      <c r="AF135" s="68">
        <f>+L135*tab!J$42</f>
        <v>0</v>
      </c>
      <c r="AG135" s="71"/>
      <c r="AH135" s="599">
        <v>0</v>
      </c>
      <c r="AI135" s="120">
        <f t="shared" si="39"/>
        <v>0</v>
      </c>
      <c r="AJ135" s="120">
        <f t="shared" si="40"/>
        <v>0</v>
      </c>
      <c r="AK135" s="120">
        <f t="shared" si="41"/>
        <v>0</v>
      </c>
      <c r="AL135" s="120">
        <f t="shared" si="42"/>
        <v>0</v>
      </c>
      <c r="AM135" s="134"/>
    </row>
    <row r="136" spans="2:39" s="113" customFormat="1" x14ac:dyDescent="0.2">
      <c r="B136" s="133"/>
      <c r="C136" s="150"/>
      <c r="D136" s="50">
        <v>122</v>
      </c>
      <c r="E136" s="1100" t="str">
        <f>+'Li O school'!E136</f>
        <v>school 122</v>
      </c>
      <c r="F136" s="1100" t="str">
        <f>+'Li O school'!F136</f>
        <v>11AA</v>
      </c>
      <c r="G136" s="925">
        <v>0</v>
      </c>
      <c r="H136" s="925">
        <v>0</v>
      </c>
      <c r="I136" s="119">
        <f t="shared" si="47"/>
        <v>0</v>
      </c>
      <c r="J136" s="119">
        <f t="shared" si="47"/>
        <v>0</v>
      </c>
      <c r="K136" s="119">
        <f t="shared" si="35"/>
        <v>0</v>
      </c>
      <c r="L136" s="119">
        <f t="shared" si="36"/>
        <v>0</v>
      </c>
      <c r="M136" s="71"/>
      <c r="N136" s="68">
        <f>ROUND(G136*tab!E$39,2)</f>
        <v>0</v>
      </c>
      <c r="O136" s="68">
        <f>ROUND(H136*tab!F$39,2)</f>
        <v>0</v>
      </c>
      <c r="P136" s="68">
        <f>ROUND(I136*tab!G$39,2)</f>
        <v>0</v>
      </c>
      <c r="Q136" s="68">
        <f>ROUND(J136*tab!H$39,2)</f>
        <v>0</v>
      </c>
      <c r="R136" s="68">
        <f>ROUND(K136*tab!I$39,2)</f>
        <v>0</v>
      </c>
      <c r="S136" s="68">
        <f>ROUND(L136*tab!J$39,2)</f>
        <v>0</v>
      </c>
      <c r="T136" s="71"/>
      <c r="U136" s="153">
        <v>0</v>
      </c>
      <c r="V136" s="120">
        <f t="shared" si="48"/>
        <v>0</v>
      </c>
      <c r="W136" s="120">
        <f t="shared" si="48"/>
        <v>0</v>
      </c>
      <c r="X136" s="120">
        <f t="shared" si="48"/>
        <v>0</v>
      </c>
      <c r="Y136" s="120">
        <f t="shared" si="37"/>
        <v>0</v>
      </c>
      <c r="Z136" s="120">
        <f t="shared" si="38"/>
        <v>0</v>
      </c>
      <c r="AA136" s="71"/>
      <c r="AB136" s="68">
        <f>+H136*tab!F$42</f>
        <v>0</v>
      </c>
      <c r="AC136" s="68">
        <f>+I136*tab!G$42</f>
        <v>0</v>
      </c>
      <c r="AD136" s="68">
        <f>+J136*tab!H$42</f>
        <v>0</v>
      </c>
      <c r="AE136" s="68">
        <f>+K136*tab!I$42</f>
        <v>0</v>
      </c>
      <c r="AF136" s="68">
        <f>+L136*tab!J$42</f>
        <v>0</v>
      </c>
      <c r="AG136" s="71"/>
      <c r="AH136" s="599">
        <v>0</v>
      </c>
      <c r="AI136" s="120">
        <f t="shared" si="39"/>
        <v>0</v>
      </c>
      <c r="AJ136" s="120">
        <f t="shared" si="40"/>
        <v>0</v>
      </c>
      <c r="AK136" s="120">
        <f t="shared" si="41"/>
        <v>0</v>
      </c>
      <c r="AL136" s="120">
        <f t="shared" si="42"/>
        <v>0</v>
      </c>
      <c r="AM136" s="134"/>
    </row>
    <row r="137" spans="2:39" s="113" customFormat="1" x14ac:dyDescent="0.2">
      <c r="B137" s="133"/>
      <c r="C137" s="150"/>
      <c r="D137" s="50">
        <v>123</v>
      </c>
      <c r="E137" s="1100" t="str">
        <f>+'Li O school'!E137</f>
        <v>school 123</v>
      </c>
      <c r="F137" s="1100" t="str">
        <f>+'Li O school'!F137</f>
        <v>11AA</v>
      </c>
      <c r="G137" s="925">
        <v>0</v>
      </c>
      <c r="H137" s="925">
        <v>0</v>
      </c>
      <c r="I137" s="119">
        <f t="shared" si="47"/>
        <v>0</v>
      </c>
      <c r="J137" s="119">
        <f t="shared" si="47"/>
        <v>0</v>
      </c>
      <c r="K137" s="119">
        <f t="shared" si="35"/>
        <v>0</v>
      </c>
      <c r="L137" s="119">
        <f t="shared" si="36"/>
        <v>0</v>
      </c>
      <c r="M137" s="71"/>
      <c r="N137" s="68">
        <f>ROUND(G137*tab!E$39,2)</f>
        <v>0</v>
      </c>
      <c r="O137" s="68">
        <f>ROUND(H137*tab!F$39,2)</f>
        <v>0</v>
      </c>
      <c r="P137" s="68">
        <f>ROUND(I137*tab!G$39,2)</f>
        <v>0</v>
      </c>
      <c r="Q137" s="68">
        <f>ROUND(J137*tab!H$39,2)</f>
        <v>0</v>
      </c>
      <c r="R137" s="68">
        <f>ROUND(K137*tab!I$39,2)</f>
        <v>0</v>
      </c>
      <c r="S137" s="68">
        <f>ROUND(L137*tab!J$39,2)</f>
        <v>0</v>
      </c>
      <c r="T137" s="71"/>
      <c r="U137" s="153">
        <v>0</v>
      </c>
      <c r="V137" s="120">
        <f t="shared" si="48"/>
        <v>0</v>
      </c>
      <c r="W137" s="120">
        <f t="shared" si="48"/>
        <v>0</v>
      </c>
      <c r="X137" s="120">
        <f t="shared" si="48"/>
        <v>0</v>
      </c>
      <c r="Y137" s="120">
        <f t="shared" si="37"/>
        <v>0</v>
      </c>
      <c r="Z137" s="120">
        <f t="shared" si="38"/>
        <v>0</v>
      </c>
      <c r="AA137" s="71"/>
      <c r="AB137" s="68">
        <f>+H137*tab!F$42</f>
        <v>0</v>
      </c>
      <c r="AC137" s="68">
        <f>+I137*tab!G$42</f>
        <v>0</v>
      </c>
      <c r="AD137" s="68">
        <f>+J137*tab!H$42</f>
        <v>0</v>
      </c>
      <c r="AE137" s="68">
        <f>+K137*tab!I$42</f>
        <v>0</v>
      </c>
      <c r="AF137" s="68">
        <f>+L137*tab!J$42</f>
        <v>0</v>
      </c>
      <c r="AG137" s="71"/>
      <c r="AH137" s="599">
        <v>0</v>
      </c>
      <c r="AI137" s="120">
        <f t="shared" si="39"/>
        <v>0</v>
      </c>
      <c r="AJ137" s="120">
        <f t="shared" si="40"/>
        <v>0</v>
      </c>
      <c r="AK137" s="120">
        <f t="shared" si="41"/>
        <v>0</v>
      </c>
      <c r="AL137" s="120">
        <f t="shared" si="42"/>
        <v>0</v>
      </c>
      <c r="AM137" s="134"/>
    </row>
    <row r="138" spans="2:39" s="113" customFormat="1" x14ac:dyDescent="0.2">
      <c r="B138" s="133"/>
      <c r="C138" s="150"/>
      <c r="D138" s="50">
        <v>124</v>
      </c>
      <c r="E138" s="1100" t="str">
        <f>+'Li O school'!E138</f>
        <v>school 124</v>
      </c>
      <c r="F138" s="1100" t="str">
        <f>+'Li O school'!F138</f>
        <v>11AA</v>
      </c>
      <c r="G138" s="925">
        <v>0</v>
      </c>
      <c r="H138" s="925">
        <v>0</v>
      </c>
      <c r="I138" s="119">
        <f t="shared" si="47"/>
        <v>0</v>
      </c>
      <c r="J138" s="119">
        <f t="shared" si="47"/>
        <v>0</v>
      </c>
      <c r="K138" s="119">
        <f t="shared" si="35"/>
        <v>0</v>
      </c>
      <c r="L138" s="119">
        <f t="shared" si="36"/>
        <v>0</v>
      </c>
      <c r="M138" s="71"/>
      <c r="N138" s="68">
        <f>ROUND(G138*tab!E$39,2)</f>
        <v>0</v>
      </c>
      <c r="O138" s="68">
        <f>ROUND(H138*tab!F$39,2)</f>
        <v>0</v>
      </c>
      <c r="P138" s="68">
        <f>ROUND(I138*tab!G$39,2)</f>
        <v>0</v>
      </c>
      <c r="Q138" s="68">
        <f>ROUND(J138*tab!H$39,2)</f>
        <v>0</v>
      </c>
      <c r="R138" s="68">
        <f>ROUND(K138*tab!I$39,2)</f>
        <v>0</v>
      </c>
      <c r="S138" s="68">
        <f>ROUND(L138*tab!J$39,2)</f>
        <v>0</v>
      </c>
      <c r="T138" s="71"/>
      <c r="U138" s="153">
        <v>0</v>
      </c>
      <c r="V138" s="120">
        <f t="shared" si="48"/>
        <v>0</v>
      </c>
      <c r="W138" s="120">
        <f t="shared" si="48"/>
        <v>0</v>
      </c>
      <c r="X138" s="120">
        <f t="shared" si="48"/>
        <v>0</v>
      </c>
      <c r="Y138" s="120">
        <f t="shared" si="37"/>
        <v>0</v>
      </c>
      <c r="Z138" s="120">
        <f t="shared" si="38"/>
        <v>0</v>
      </c>
      <c r="AA138" s="71"/>
      <c r="AB138" s="68">
        <f>+H138*tab!F$42</f>
        <v>0</v>
      </c>
      <c r="AC138" s="68">
        <f>+I138*tab!G$42</f>
        <v>0</v>
      </c>
      <c r="AD138" s="68">
        <f>+J138*tab!H$42</f>
        <v>0</v>
      </c>
      <c r="AE138" s="68">
        <f>+K138*tab!I$42</f>
        <v>0</v>
      </c>
      <c r="AF138" s="68">
        <f>+L138*tab!J$42</f>
        <v>0</v>
      </c>
      <c r="AG138" s="71"/>
      <c r="AH138" s="599">
        <v>0</v>
      </c>
      <c r="AI138" s="120">
        <f t="shared" si="39"/>
        <v>0</v>
      </c>
      <c r="AJ138" s="120">
        <f t="shared" si="40"/>
        <v>0</v>
      </c>
      <c r="AK138" s="120">
        <f t="shared" si="41"/>
        <v>0</v>
      </c>
      <c r="AL138" s="120">
        <f t="shared" si="42"/>
        <v>0</v>
      </c>
      <c r="AM138" s="134"/>
    </row>
    <row r="139" spans="2:39" s="113" customFormat="1" x14ac:dyDescent="0.2">
      <c r="B139" s="133"/>
      <c r="C139" s="150"/>
      <c r="D139" s="50">
        <v>125</v>
      </c>
      <c r="E139" s="1100" t="str">
        <f>+'Li O school'!E139</f>
        <v>school 125</v>
      </c>
      <c r="F139" s="1100" t="str">
        <f>+'Li O school'!F139</f>
        <v>11AA</v>
      </c>
      <c r="G139" s="925">
        <v>0</v>
      </c>
      <c r="H139" s="925">
        <v>0</v>
      </c>
      <c r="I139" s="119">
        <f t="shared" si="47"/>
        <v>0</v>
      </c>
      <c r="J139" s="119">
        <f t="shared" si="47"/>
        <v>0</v>
      </c>
      <c r="K139" s="119">
        <f t="shared" si="35"/>
        <v>0</v>
      </c>
      <c r="L139" s="119">
        <f t="shared" si="36"/>
        <v>0</v>
      </c>
      <c r="M139" s="71"/>
      <c r="N139" s="68">
        <f>ROUND(G139*tab!E$39,2)</f>
        <v>0</v>
      </c>
      <c r="O139" s="68">
        <f>ROUND(H139*tab!F$39,2)</f>
        <v>0</v>
      </c>
      <c r="P139" s="68">
        <f>ROUND(I139*tab!G$39,2)</f>
        <v>0</v>
      </c>
      <c r="Q139" s="68">
        <f>ROUND(J139*tab!H$39,2)</f>
        <v>0</v>
      </c>
      <c r="R139" s="68">
        <f>ROUND(K139*tab!I$39,2)</f>
        <v>0</v>
      </c>
      <c r="S139" s="68">
        <f>ROUND(L139*tab!J$39,2)</f>
        <v>0</v>
      </c>
      <c r="T139" s="71"/>
      <c r="U139" s="153">
        <v>0</v>
      </c>
      <c r="V139" s="120">
        <f t="shared" si="48"/>
        <v>0</v>
      </c>
      <c r="W139" s="120">
        <f t="shared" si="48"/>
        <v>0</v>
      </c>
      <c r="X139" s="120">
        <f t="shared" si="48"/>
        <v>0</v>
      </c>
      <c r="Y139" s="120">
        <f t="shared" si="37"/>
        <v>0</v>
      </c>
      <c r="Z139" s="120">
        <f t="shared" si="38"/>
        <v>0</v>
      </c>
      <c r="AA139" s="71"/>
      <c r="AB139" s="68">
        <f>+H139*tab!F$42</f>
        <v>0</v>
      </c>
      <c r="AC139" s="68">
        <f>+I139*tab!G$42</f>
        <v>0</v>
      </c>
      <c r="AD139" s="68">
        <f>+J139*tab!H$42</f>
        <v>0</v>
      </c>
      <c r="AE139" s="68">
        <f>+K139*tab!I$42</f>
        <v>0</v>
      </c>
      <c r="AF139" s="68">
        <f>+L139*tab!J$42</f>
        <v>0</v>
      </c>
      <c r="AG139" s="71"/>
      <c r="AH139" s="599">
        <v>0</v>
      </c>
      <c r="AI139" s="120">
        <f t="shared" si="39"/>
        <v>0</v>
      </c>
      <c r="AJ139" s="120">
        <f t="shared" si="40"/>
        <v>0</v>
      </c>
      <c r="AK139" s="120">
        <f t="shared" si="41"/>
        <v>0</v>
      </c>
      <c r="AL139" s="120">
        <f t="shared" si="42"/>
        <v>0</v>
      </c>
      <c r="AM139" s="134"/>
    </row>
    <row r="140" spans="2:39" x14ac:dyDescent="0.2">
      <c r="B140" s="76"/>
      <c r="R140" s="110"/>
      <c r="T140" s="113"/>
      <c r="Y140" s="110"/>
      <c r="Z140" s="110"/>
      <c r="AA140" s="113"/>
      <c r="AE140" s="110"/>
      <c r="AF140" s="110"/>
      <c r="AG140" s="113"/>
      <c r="AM140" s="78"/>
    </row>
    <row r="141" spans="2:39" x14ac:dyDescent="0.2">
      <c r="B141" s="76"/>
      <c r="D141" s="115" t="s">
        <v>422</v>
      </c>
      <c r="G141" s="46">
        <f t="shared" ref="G141:L141" si="49">SUM(G15:G139)</f>
        <v>0</v>
      </c>
      <c r="H141" s="46">
        <f t="shared" si="49"/>
        <v>0</v>
      </c>
      <c r="I141" s="46">
        <f t="shared" si="49"/>
        <v>0</v>
      </c>
      <c r="J141" s="46">
        <f t="shared" si="49"/>
        <v>0</v>
      </c>
      <c r="K141" s="46">
        <f t="shared" si="49"/>
        <v>0</v>
      </c>
      <c r="L141" s="46">
        <f t="shared" si="49"/>
        <v>0</v>
      </c>
      <c r="M141" s="66"/>
      <c r="N141" s="646">
        <f t="shared" ref="N141:S141" si="50">SUM(N15:N139)</f>
        <v>0</v>
      </c>
      <c r="O141" s="646">
        <f t="shared" si="50"/>
        <v>0</v>
      </c>
      <c r="P141" s="646">
        <f t="shared" si="50"/>
        <v>0</v>
      </c>
      <c r="Q141" s="646">
        <f t="shared" si="50"/>
        <v>0</v>
      </c>
      <c r="R141" s="646">
        <f t="shared" si="50"/>
        <v>0</v>
      </c>
      <c r="S141" s="646">
        <f t="shared" si="50"/>
        <v>0</v>
      </c>
      <c r="T141" s="66"/>
      <c r="U141" s="646">
        <f t="shared" ref="U141:Z141" si="51">SUM(U15:U139)</f>
        <v>0</v>
      </c>
      <c r="V141" s="646">
        <f t="shared" si="51"/>
        <v>0</v>
      </c>
      <c r="W141" s="646">
        <f t="shared" si="51"/>
        <v>0</v>
      </c>
      <c r="X141" s="646">
        <f t="shared" si="51"/>
        <v>0</v>
      </c>
      <c r="Y141" s="646">
        <f t="shared" si="51"/>
        <v>0</v>
      </c>
      <c r="Z141" s="646">
        <f t="shared" si="51"/>
        <v>0</v>
      </c>
      <c r="AA141" s="66"/>
      <c r="AB141" s="646">
        <f t="shared" ref="AB141:AF141" si="52">SUM(AB15:AB139)</f>
        <v>0</v>
      </c>
      <c r="AC141" s="646">
        <f t="shared" si="52"/>
        <v>0</v>
      </c>
      <c r="AD141" s="646">
        <f t="shared" si="52"/>
        <v>0</v>
      </c>
      <c r="AE141" s="646">
        <f t="shared" si="52"/>
        <v>0</v>
      </c>
      <c r="AF141" s="646">
        <f t="shared" si="52"/>
        <v>0</v>
      </c>
      <c r="AG141" s="66"/>
      <c r="AH141" s="646">
        <f t="shared" ref="AH141:AL141" si="53">SUM(AH15:AH139)</f>
        <v>0</v>
      </c>
      <c r="AI141" s="646">
        <f t="shared" si="53"/>
        <v>0</v>
      </c>
      <c r="AJ141" s="646">
        <f t="shared" si="53"/>
        <v>0</v>
      </c>
      <c r="AK141" s="646">
        <f t="shared" si="53"/>
        <v>0</v>
      </c>
      <c r="AL141" s="646">
        <f t="shared" si="53"/>
        <v>0</v>
      </c>
      <c r="AM141" s="78"/>
    </row>
    <row r="142" spans="2:39" x14ac:dyDescent="0.2">
      <c r="B142" s="76"/>
      <c r="AM142" s="78"/>
    </row>
    <row r="143" spans="2:39" x14ac:dyDescent="0.2">
      <c r="B143" s="76"/>
      <c r="C143" s="77"/>
      <c r="D143" s="121"/>
      <c r="E143" s="121"/>
      <c r="F143" s="122"/>
      <c r="G143" s="70"/>
      <c r="H143" s="70"/>
      <c r="I143" s="70"/>
      <c r="J143" s="70"/>
      <c r="K143" s="70"/>
      <c r="L143" s="70"/>
      <c r="M143" s="70"/>
      <c r="N143" s="77"/>
      <c r="O143" s="77"/>
      <c r="P143" s="77"/>
      <c r="Q143" s="77"/>
      <c r="R143" s="70"/>
      <c r="S143" s="77"/>
      <c r="T143" s="77"/>
      <c r="U143" s="77"/>
      <c r="V143" s="77"/>
      <c r="W143" s="77"/>
      <c r="X143" s="77"/>
      <c r="Y143" s="70"/>
      <c r="Z143" s="70"/>
      <c r="AA143" s="77"/>
      <c r="AB143" s="77"/>
      <c r="AC143" s="77"/>
      <c r="AD143" s="77"/>
      <c r="AE143" s="70"/>
      <c r="AF143" s="70"/>
      <c r="AG143" s="77"/>
      <c r="AH143" s="77"/>
      <c r="AI143" s="77"/>
      <c r="AJ143" s="77"/>
      <c r="AK143" s="77"/>
      <c r="AL143" s="77"/>
      <c r="AM143" s="78"/>
    </row>
    <row r="144" spans="2:39" x14ac:dyDescent="0.2">
      <c r="B144" s="86"/>
      <c r="C144" s="83"/>
      <c r="D144" s="135"/>
      <c r="E144" s="135"/>
      <c r="F144" s="136"/>
      <c r="G144" s="84"/>
      <c r="H144" s="84"/>
      <c r="I144" s="84"/>
      <c r="J144" s="84"/>
      <c r="K144" s="84"/>
      <c r="L144" s="84"/>
      <c r="M144" s="84"/>
      <c r="N144" s="83"/>
      <c r="O144" s="83"/>
      <c r="P144" s="83"/>
      <c r="Q144" s="83"/>
      <c r="R144" s="84"/>
      <c r="S144" s="83"/>
      <c r="T144" s="83"/>
      <c r="U144" s="83"/>
      <c r="V144" s="83"/>
      <c r="W144" s="83"/>
      <c r="X144" s="83"/>
      <c r="Y144" s="84"/>
      <c r="Z144" s="84"/>
      <c r="AA144" s="83"/>
      <c r="AB144" s="83"/>
      <c r="AC144" s="83"/>
      <c r="AD144" s="83"/>
      <c r="AE144" s="84"/>
      <c r="AF144" s="84"/>
      <c r="AG144" s="83"/>
      <c r="AH144" s="83"/>
      <c r="AI144" s="83"/>
      <c r="AJ144" s="83"/>
      <c r="AK144" s="83"/>
      <c r="AL144" s="83"/>
      <c r="AM144" s="85"/>
    </row>
    <row r="147" spans="4:32" s="114" customFormat="1" x14ac:dyDescent="0.2">
      <c r="D147" s="115"/>
      <c r="E147" s="115"/>
      <c r="F147" s="116"/>
      <c r="G147" s="117"/>
      <c r="H147" s="117"/>
      <c r="I147" s="117"/>
      <c r="J147" s="117"/>
      <c r="K147" s="117"/>
      <c r="L147" s="117"/>
      <c r="M147" s="117"/>
      <c r="R147" s="117"/>
      <c r="Y147" s="117"/>
      <c r="Z147" s="117"/>
      <c r="AE147" s="117"/>
      <c r="AF147" s="117"/>
    </row>
    <row r="157" spans="4:32" s="114" customFormat="1" x14ac:dyDescent="0.2">
      <c r="D157" s="115"/>
      <c r="E157" s="115"/>
      <c r="F157" s="116"/>
      <c r="G157" s="117"/>
      <c r="H157" s="117"/>
      <c r="I157" s="117"/>
      <c r="J157" s="117"/>
      <c r="K157" s="117"/>
      <c r="L157" s="117"/>
      <c r="M157" s="117"/>
      <c r="R157" s="117"/>
      <c r="Y157" s="117"/>
      <c r="Z157" s="117"/>
      <c r="AE157" s="117"/>
      <c r="AF157" s="117"/>
    </row>
    <row r="162" spans="4:32" s="114" customFormat="1" x14ac:dyDescent="0.2">
      <c r="D162" s="115"/>
      <c r="E162" s="115"/>
      <c r="F162" s="116"/>
      <c r="G162" s="117"/>
      <c r="H162" s="117"/>
      <c r="I162" s="117"/>
      <c r="J162" s="117"/>
      <c r="K162" s="117"/>
      <c r="L162" s="117"/>
      <c r="M162" s="117"/>
      <c r="R162" s="117"/>
      <c r="Y162" s="117"/>
      <c r="Z162" s="117"/>
      <c r="AE162" s="117"/>
      <c r="AF162" s="117"/>
    </row>
    <row r="167" spans="4:32" s="114" customFormat="1" x14ac:dyDescent="0.2">
      <c r="D167" s="115"/>
      <c r="E167" s="115"/>
      <c r="F167" s="116"/>
      <c r="G167" s="117"/>
      <c r="H167" s="117"/>
      <c r="I167" s="117"/>
      <c r="J167" s="117"/>
      <c r="K167" s="117"/>
      <c r="L167" s="117"/>
      <c r="M167" s="117"/>
      <c r="R167" s="117"/>
      <c r="Y167" s="117"/>
      <c r="Z167" s="117"/>
      <c r="AE167" s="117"/>
      <c r="AF167" s="117"/>
    </row>
    <row r="172" spans="4:32" s="114" customFormat="1" x14ac:dyDescent="0.2">
      <c r="D172" s="115"/>
      <c r="E172" s="115"/>
      <c r="F172" s="116"/>
      <c r="G172" s="117"/>
      <c r="H172" s="117"/>
      <c r="I172" s="117"/>
      <c r="J172" s="117"/>
      <c r="K172" s="117"/>
      <c r="L172" s="117"/>
      <c r="M172" s="117"/>
      <c r="R172" s="117"/>
      <c r="Y172" s="117"/>
      <c r="Z172" s="117"/>
      <c r="AE172" s="117"/>
      <c r="AF172" s="117"/>
    </row>
    <row r="177" spans="4:32" s="114" customFormat="1" x14ac:dyDescent="0.2">
      <c r="D177" s="115"/>
      <c r="E177" s="115"/>
      <c r="F177" s="116"/>
      <c r="G177" s="117"/>
      <c r="H177" s="117"/>
      <c r="I177" s="117"/>
      <c r="J177" s="117"/>
      <c r="K177" s="117"/>
      <c r="L177" s="117"/>
      <c r="M177" s="117"/>
      <c r="R177" s="117"/>
      <c r="Y177" s="117"/>
      <c r="Z177" s="117"/>
      <c r="AE177" s="117"/>
      <c r="AF177" s="117"/>
    </row>
    <row r="182" spans="4:32" s="114" customFormat="1" x14ac:dyDescent="0.2">
      <c r="D182" s="115"/>
      <c r="E182" s="115"/>
      <c r="F182" s="116"/>
      <c r="G182" s="117"/>
      <c r="H182" s="117"/>
      <c r="I182" s="117"/>
      <c r="J182" s="117"/>
      <c r="K182" s="117"/>
      <c r="L182" s="117"/>
      <c r="M182" s="117"/>
      <c r="R182" s="117"/>
      <c r="Y182" s="117"/>
      <c r="Z182" s="117"/>
      <c r="AE182" s="117"/>
      <c r="AF182" s="117"/>
    </row>
    <row r="193" spans="4:32" s="114" customFormat="1" x14ac:dyDescent="0.2">
      <c r="D193" s="115"/>
      <c r="E193" s="115"/>
      <c r="F193" s="116"/>
      <c r="G193" s="117"/>
      <c r="H193" s="117"/>
      <c r="I193" s="117"/>
      <c r="J193" s="117"/>
      <c r="K193" s="117"/>
      <c r="L193" s="117"/>
      <c r="M193" s="117"/>
      <c r="R193" s="117"/>
      <c r="Y193" s="117"/>
      <c r="Z193" s="117"/>
      <c r="AE193" s="117"/>
      <c r="AF193" s="117"/>
    </row>
    <row r="198" spans="4:32" s="114" customFormat="1" x14ac:dyDescent="0.2">
      <c r="D198" s="115"/>
      <c r="E198" s="115"/>
      <c r="F198" s="116"/>
      <c r="G198" s="117"/>
      <c r="H198" s="117"/>
      <c r="I198" s="117"/>
      <c r="J198" s="117"/>
      <c r="K198" s="117"/>
      <c r="L198" s="117"/>
      <c r="M198" s="117"/>
      <c r="R198" s="117"/>
      <c r="Y198" s="117"/>
      <c r="Z198" s="117"/>
      <c r="AE198" s="117"/>
      <c r="AF198" s="117"/>
    </row>
    <row r="203" spans="4:32" s="114" customFormat="1" x14ac:dyDescent="0.2">
      <c r="D203" s="115"/>
      <c r="E203" s="115"/>
      <c r="F203" s="116"/>
      <c r="G203" s="117"/>
      <c r="H203" s="117"/>
      <c r="I203" s="117"/>
      <c r="J203" s="117"/>
      <c r="K203" s="117"/>
      <c r="L203" s="117"/>
      <c r="M203" s="117"/>
      <c r="R203" s="117"/>
      <c r="Y203" s="117"/>
      <c r="Z203" s="117"/>
      <c r="AE203" s="117"/>
      <c r="AF203" s="117"/>
    </row>
    <row r="208" spans="4:32" s="114" customFormat="1" x14ac:dyDescent="0.2">
      <c r="D208" s="115"/>
      <c r="E208" s="115"/>
      <c r="F208" s="116"/>
      <c r="G208" s="117"/>
      <c r="H208" s="117"/>
      <c r="I208" s="117"/>
      <c r="J208" s="117"/>
      <c r="K208" s="117"/>
      <c r="L208" s="117"/>
      <c r="M208" s="117"/>
      <c r="R208" s="117"/>
      <c r="Y208" s="117"/>
      <c r="Z208" s="117"/>
      <c r="AE208" s="117"/>
      <c r="AF208" s="117"/>
    </row>
    <row r="213" spans="4:32" s="114" customFormat="1" x14ac:dyDescent="0.2">
      <c r="D213" s="115"/>
      <c r="E213" s="115"/>
      <c r="F213" s="116"/>
      <c r="G213" s="117"/>
      <c r="H213" s="117"/>
      <c r="I213" s="117"/>
      <c r="J213" s="117"/>
      <c r="K213" s="117"/>
      <c r="L213" s="117"/>
      <c r="M213" s="117"/>
      <c r="R213" s="117"/>
      <c r="Y213" s="117"/>
      <c r="Z213" s="117"/>
      <c r="AE213" s="117"/>
      <c r="AF213" s="117"/>
    </row>
    <row r="216" spans="4:32" x14ac:dyDescent="0.2">
      <c r="D216" s="115"/>
      <c r="E216" s="115"/>
      <c r="F216" s="116"/>
      <c r="G216" s="117"/>
      <c r="H216" s="117"/>
      <c r="M216" s="117"/>
      <c r="R216" s="117"/>
      <c r="Y216" s="117"/>
      <c r="Z216" s="117"/>
      <c r="AE216" s="117"/>
      <c r="AF216" s="117"/>
    </row>
    <row r="217" spans="4:32" x14ac:dyDescent="0.2">
      <c r="D217" s="115"/>
      <c r="E217" s="115"/>
      <c r="F217" s="116"/>
      <c r="G217" s="117"/>
      <c r="H217" s="117"/>
      <c r="M217" s="117"/>
      <c r="R217" s="117"/>
      <c r="Y217" s="117"/>
      <c r="Z217" s="117"/>
      <c r="AE217" s="117"/>
      <c r="AF217" s="117"/>
    </row>
    <row r="218" spans="4:32" s="114" customFormat="1" x14ac:dyDescent="0.2">
      <c r="D218" s="115"/>
      <c r="E218" s="115"/>
      <c r="F218" s="116"/>
      <c r="G218" s="117"/>
      <c r="H218" s="117"/>
      <c r="I218" s="117"/>
      <c r="J218" s="117"/>
      <c r="K218" s="117"/>
      <c r="L218" s="117"/>
      <c r="M218" s="117"/>
      <c r="R218" s="117"/>
      <c r="Y218" s="117"/>
      <c r="Z218" s="117"/>
      <c r="AE218" s="117"/>
      <c r="AF218" s="117"/>
    </row>
  </sheetData>
  <sheetProtection algorithmName="SHA-512" hashValue="npIzYUDs9Ou4d7RsHuomu/BKIzQ0kCg8dYEH6qoOmWkiFnmERdVRCrneKvlHEcPYS+E7R2oS8oBo3+NFc1ZqgQ==" saltValue="ZSTrlo5BQw8zBjt4s32f+g==" spinCount="100000" sheet="1" objects="1" scenarios="1"/>
  <phoneticPr fontId="47" type="noConversion"/>
  <pageMargins left="0.74803149606299213" right="0.74803149606299213" top="0.98425196850393704" bottom="0.98425196850393704" header="0.51181102362204722" footer="0.51181102362204722"/>
  <pageSetup paperSize="9" scale="34" orientation="portrait" r:id="rId1"/>
  <headerFooter alignWithMargins="0">
    <oddHeader>&amp;L&amp;F&amp;R&amp;A</oddHeader>
    <oddFooter>&amp;Lkeizer&amp;Cpagina &amp;P&amp;R&amp;D</oddFooter>
  </headerFooter>
  <colBreaks count="1" manualBreakCount="1">
    <brk id="26" max="1048575" man="1"/>
  </col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275"/>
  <sheetViews>
    <sheetView zoomScale="85" zoomScaleNormal="85" workbookViewId="0">
      <selection activeCell="B2" sqref="B2"/>
    </sheetView>
  </sheetViews>
  <sheetFormatPr defaultColWidth="9.7109375" defaultRowHeight="12.75" x14ac:dyDescent="0.2"/>
  <cols>
    <col min="1" max="1" width="3.7109375" style="6" customWidth="1"/>
    <col min="2" max="3" width="2.7109375" style="6" customWidth="1"/>
    <col min="4" max="4" width="35.7109375" style="6" customWidth="1"/>
    <col min="5" max="5" width="2.7109375" style="6" customWidth="1"/>
    <col min="6" max="10" width="16.85546875" style="6" customWidth="1"/>
    <col min="11" max="12" width="2.7109375" style="6" customWidth="1"/>
    <col min="13" max="19" width="9.7109375" style="6" customWidth="1"/>
    <col min="20" max="20" width="8" style="6" customWidth="1"/>
    <col min="21" max="21" width="13.85546875" style="6" customWidth="1"/>
    <col min="22" max="16384" width="9.7109375" style="6"/>
  </cols>
  <sheetData>
    <row r="2" spans="2:12" x14ac:dyDescent="0.2">
      <c r="B2" s="18"/>
      <c r="C2" s="19"/>
      <c r="D2" s="19"/>
      <c r="E2" s="19"/>
      <c r="F2" s="19"/>
      <c r="G2" s="19"/>
      <c r="H2" s="19"/>
      <c r="I2" s="19"/>
      <c r="J2" s="19"/>
      <c r="K2" s="19"/>
      <c r="L2" s="20"/>
    </row>
    <row r="3" spans="2:12" x14ac:dyDescent="0.2">
      <c r="B3" s="21"/>
      <c r="C3" s="22"/>
      <c r="D3" s="22"/>
      <c r="E3" s="22"/>
      <c r="F3" s="22"/>
      <c r="G3" s="22"/>
      <c r="H3" s="22"/>
      <c r="I3" s="22"/>
      <c r="J3" s="22"/>
      <c r="K3" s="22"/>
      <c r="L3" s="25"/>
    </row>
    <row r="4" spans="2:12" s="13" customFormat="1" ht="18.75" x14ac:dyDescent="0.3">
      <c r="B4" s="47"/>
      <c r="C4" s="102" t="s">
        <v>252</v>
      </c>
      <c r="D4" s="48"/>
      <c r="E4" s="48"/>
      <c r="F4" s="48"/>
      <c r="G4" s="48"/>
      <c r="H4" s="48"/>
      <c r="I4" s="48"/>
      <c r="J4" s="48"/>
      <c r="K4" s="48"/>
      <c r="L4" s="49"/>
    </row>
    <row r="5" spans="2:12" s="8" customFormat="1" ht="18.75" x14ac:dyDescent="0.3">
      <c r="B5" s="26"/>
      <c r="C5" s="443" t="str">
        <f>+'geg LO'!G10</f>
        <v xml:space="preserve">SWV VO </v>
      </c>
      <c r="D5" s="27"/>
      <c r="E5" s="27"/>
      <c r="F5" s="27"/>
      <c r="G5" s="27"/>
      <c r="H5" s="27"/>
      <c r="I5" s="27"/>
      <c r="J5" s="27"/>
      <c r="K5" s="27"/>
      <c r="L5" s="28"/>
    </row>
    <row r="6" spans="2:12" ht="12.75" customHeight="1" x14ac:dyDescent="0.25">
      <c r="B6" s="21"/>
      <c r="C6" s="100"/>
      <c r="D6" s="22"/>
      <c r="E6" s="22"/>
      <c r="F6" s="22"/>
      <c r="G6" s="22"/>
      <c r="H6" s="22"/>
      <c r="I6" s="22"/>
      <c r="J6" s="22"/>
      <c r="K6" s="22"/>
      <c r="L6" s="25"/>
    </row>
    <row r="7" spans="2:12" ht="12.75" customHeight="1" x14ac:dyDescent="0.25">
      <c r="B7" s="21"/>
      <c r="C7" s="100"/>
      <c r="D7" s="22"/>
      <c r="E7" s="22"/>
      <c r="F7" s="22"/>
      <c r="G7" s="22"/>
      <c r="H7" s="22"/>
      <c r="I7" s="22"/>
      <c r="J7" s="22"/>
      <c r="K7" s="22"/>
      <c r="L7" s="25"/>
    </row>
    <row r="8" spans="2:12" ht="12.75" customHeight="1" x14ac:dyDescent="0.25">
      <c r="B8" s="21"/>
      <c r="C8" s="100"/>
      <c r="D8" s="22"/>
      <c r="E8" s="22"/>
      <c r="F8" s="22"/>
      <c r="G8" s="22"/>
      <c r="H8" s="22"/>
      <c r="I8" s="22"/>
      <c r="J8" s="22"/>
      <c r="K8" s="22"/>
      <c r="L8" s="25"/>
    </row>
    <row r="9" spans="2:12" ht="12.75" customHeight="1" x14ac:dyDescent="0.2">
      <c r="B9" s="21"/>
      <c r="C9" s="65"/>
      <c r="D9" s="32"/>
      <c r="E9" s="32"/>
      <c r="F9" s="32"/>
      <c r="G9" s="32"/>
      <c r="H9" s="32"/>
      <c r="I9" s="32"/>
      <c r="J9" s="32"/>
      <c r="K9" s="32"/>
      <c r="L9" s="25"/>
    </row>
    <row r="10" spans="2:12" ht="12.75" customHeight="1" x14ac:dyDescent="0.2">
      <c r="B10" s="21"/>
      <c r="C10" s="34"/>
      <c r="D10" s="101" t="s">
        <v>253</v>
      </c>
      <c r="E10" s="35"/>
      <c r="F10" s="35"/>
      <c r="G10" s="35"/>
      <c r="H10" s="937"/>
      <c r="I10" s="35"/>
      <c r="J10" s="35"/>
      <c r="K10" s="35"/>
      <c r="L10" s="25"/>
    </row>
    <row r="11" spans="2:12" ht="12.75" customHeight="1" x14ac:dyDescent="0.2">
      <c r="B11" s="21"/>
      <c r="C11" s="34"/>
      <c r="D11" s="191" t="s">
        <v>734</v>
      </c>
      <c r="E11" s="35"/>
      <c r="F11" s="35"/>
      <c r="G11" s="35"/>
      <c r="H11" s="937"/>
      <c r="I11" s="35"/>
      <c r="J11" s="35"/>
      <c r="K11" s="35"/>
      <c r="L11" s="25"/>
    </row>
    <row r="12" spans="2:12" ht="12.75" customHeight="1" x14ac:dyDescent="0.2">
      <c r="B12" s="21"/>
      <c r="C12" s="34"/>
      <c r="D12" s="35"/>
      <c r="E12" s="35"/>
      <c r="F12" s="35"/>
      <c r="G12" s="35"/>
      <c r="H12" s="35"/>
      <c r="I12" s="35"/>
      <c r="J12" s="35"/>
      <c r="K12" s="35"/>
      <c r="L12" s="25"/>
    </row>
    <row r="13" spans="2:12" ht="12.75" customHeight="1" x14ac:dyDescent="0.2">
      <c r="B13" s="21"/>
      <c r="C13" s="34"/>
      <c r="D13" s="35"/>
      <c r="E13" s="35"/>
      <c r="F13" s="37"/>
      <c r="G13" s="35"/>
      <c r="H13" s="35"/>
      <c r="I13" s="35"/>
      <c r="J13" s="35"/>
      <c r="K13" s="35"/>
      <c r="L13" s="25"/>
    </row>
    <row r="14" spans="2:12" ht="12.75" customHeight="1" x14ac:dyDescent="0.2">
      <c r="B14" s="21"/>
      <c r="C14" s="34"/>
      <c r="D14" s="35" t="s">
        <v>77</v>
      </c>
      <c r="E14" s="35"/>
      <c r="F14" s="104">
        <v>0.05</v>
      </c>
      <c r="G14" s="104">
        <v>0.1</v>
      </c>
      <c r="H14" s="104">
        <v>0.15</v>
      </c>
      <c r="I14" s="104">
        <v>0.2</v>
      </c>
      <c r="J14" s="104">
        <v>0.25</v>
      </c>
      <c r="K14" s="35"/>
      <c r="L14" s="25"/>
    </row>
    <row r="15" spans="2:12" ht="12.75" customHeight="1" x14ac:dyDescent="0.2">
      <c r="B15" s="21"/>
      <c r="C15" s="34"/>
      <c r="D15" s="35" t="s">
        <v>78</v>
      </c>
      <c r="E15" s="35"/>
      <c r="F15" s="103" t="s">
        <v>110</v>
      </c>
      <c r="G15" s="103" t="s">
        <v>111</v>
      </c>
      <c r="H15" s="103" t="s">
        <v>112</v>
      </c>
      <c r="I15" s="103" t="s">
        <v>113</v>
      </c>
      <c r="J15" s="103">
        <v>12</v>
      </c>
      <c r="K15" s="35"/>
      <c r="L15" s="25"/>
    </row>
    <row r="16" spans="2:12" ht="12.75" customHeight="1" x14ac:dyDescent="0.2">
      <c r="B16" s="21"/>
      <c r="C16" s="34"/>
      <c r="D16" s="35" t="s">
        <v>79</v>
      </c>
      <c r="E16" s="35"/>
      <c r="F16" s="108">
        <f>ROUND(F14*tab!$D98*VLOOKUP(F15,Verhoudingstabel_LB,2,FALSE),-1)</f>
        <v>3800</v>
      </c>
      <c r="G16" s="108">
        <f>ROUND(G14*tab!$D98*VLOOKUP(G15,Verhoudingstabel_LB,2,FALSE),-1)</f>
        <v>8860</v>
      </c>
      <c r="H16" s="108">
        <f>ROUND(H14*tab!$D98*VLOOKUP(H15,Verhoudingstabel_LB,2,FALSE),-1)</f>
        <v>15130</v>
      </c>
      <c r="I16" s="108">
        <f>ROUND(I14*tab!$D98*VLOOKUP(I15,Verhoudingstabel_LB,2,FALSE),-1)</f>
        <v>21880</v>
      </c>
      <c r="J16" s="108">
        <f>ROUND(J14*tab!$D98*VLOOKUP(J15,Verhoudingstabel_LB,2,FALSE),-1)</f>
        <v>25220</v>
      </c>
      <c r="K16" s="35"/>
      <c r="L16" s="25"/>
    </row>
    <row r="17" spans="2:12" ht="12.75" customHeight="1" x14ac:dyDescent="0.2">
      <c r="B17" s="21"/>
      <c r="C17" s="34"/>
      <c r="D17" s="35"/>
      <c r="E17" s="37"/>
      <c r="F17" s="35"/>
      <c r="G17" s="35"/>
      <c r="H17" s="35"/>
      <c r="I17" s="35"/>
      <c r="J17" s="35"/>
      <c r="K17" s="35"/>
      <c r="L17" s="25"/>
    </row>
    <row r="18" spans="2:12" ht="12.75" customHeight="1" x14ac:dyDescent="0.2">
      <c r="B18" s="21"/>
      <c r="C18" s="34"/>
      <c r="D18" s="35" t="s">
        <v>77</v>
      </c>
      <c r="E18" s="35"/>
      <c r="F18" s="104">
        <v>0.3</v>
      </c>
      <c r="G18" s="104">
        <v>0.4</v>
      </c>
      <c r="H18" s="104">
        <v>0.45</v>
      </c>
      <c r="I18" s="104">
        <v>0.5</v>
      </c>
      <c r="J18" s="104">
        <v>0.6</v>
      </c>
      <c r="K18" s="35"/>
      <c r="L18" s="25"/>
    </row>
    <row r="19" spans="2:12" ht="12.75" customHeight="1" x14ac:dyDescent="0.2">
      <c r="B19" s="21"/>
      <c r="C19" s="34"/>
      <c r="D19" s="35" t="s">
        <v>78</v>
      </c>
      <c r="E19" s="35"/>
      <c r="F19" s="103">
        <v>8</v>
      </c>
      <c r="G19" s="103">
        <v>9</v>
      </c>
      <c r="H19" s="103">
        <v>10</v>
      </c>
      <c r="I19" s="103">
        <v>11</v>
      </c>
      <c r="J19" s="103">
        <v>12</v>
      </c>
      <c r="K19" s="35"/>
      <c r="L19" s="25"/>
    </row>
    <row r="20" spans="2:12" ht="12.75" customHeight="1" x14ac:dyDescent="0.2">
      <c r="B20" s="21"/>
      <c r="C20" s="34"/>
      <c r="D20" s="35" t="s">
        <v>79</v>
      </c>
      <c r="E20" s="35"/>
      <c r="F20" s="108">
        <f>ROUND(F18*tab!$D98*VLOOKUP(F19,Verhoudingstabel_LB,2,FALSE),-1)</f>
        <v>18350</v>
      </c>
      <c r="G20" s="108">
        <f>ROUND(G18*tab!$D98*VLOOKUP(G19,Verhoudingstabel_LB,2,FALSE),-1)</f>
        <v>26810</v>
      </c>
      <c r="H20" s="108">
        <f>ROUND(H18*tab!$D98*VLOOKUP(H19,Verhoudingstabel_LB,2,FALSE),-1)</f>
        <v>34200</v>
      </c>
      <c r="I20" s="108">
        <f>ROUND(I18*tab!$D98*VLOOKUP(I19,Verhoudingstabel_LB,2,FALSE),-1)</f>
        <v>44320</v>
      </c>
      <c r="J20" s="108">
        <f>ROUND(J18*tab!$D98*VLOOKUP(J19,Verhoudingstabel_LB,2,FALSE),-1)</f>
        <v>60520</v>
      </c>
      <c r="K20" s="35"/>
      <c r="L20" s="25"/>
    </row>
    <row r="21" spans="2:12" ht="12.75" customHeight="1" x14ac:dyDescent="0.2">
      <c r="B21" s="21"/>
      <c r="C21" s="39"/>
      <c r="D21" s="40"/>
      <c r="E21" s="51"/>
      <c r="F21" s="40"/>
      <c r="G21" s="40"/>
      <c r="H21" s="40"/>
      <c r="I21" s="40"/>
      <c r="J21" s="40"/>
      <c r="K21" s="40"/>
      <c r="L21" s="25"/>
    </row>
    <row r="22" spans="2:12" ht="12.75" customHeight="1" x14ac:dyDescent="0.2">
      <c r="B22" s="21"/>
      <c r="C22" s="22"/>
      <c r="D22" s="22"/>
      <c r="E22" s="23"/>
      <c r="F22" s="22"/>
      <c r="G22" s="22"/>
      <c r="H22" s="22"/>
      <c r="I22" s="22"/>
      <c r="J22" s="22"/>
      <c r="K22" s="22"/>
      <c r="L22" s="25"/>
    </row>
    <row r="23" spans="2:12" ht="12.75" customHeight="1" x14ac:dyDescent="0.2">
      <c r="B23" s="21"/>
      <c r="C23" s="31"/>
      <c r="D23" s="32"/>
      <c r="E23" s="42"/>
      <c r="F23" s="32"/>
      <c r="G23" s="32"/>
      <c r="H23" s="32"/>
      <c r="I23" s="32"/>
      <c r="J23" s="32"/>
      <c r="K23" s="32"/>
      <c r="L23" s="25"/>
    </row>
    <row r="24" spans="2:12" ht="12.75" customHeight="1" x14ac:dyDescent="0.2">
      <c r="B24" s="21"/>
      <c r="C24" s="34"/>
      <c r="D24" s="101" t="s">
        <v>254</v>
      </c>
      <c r="E24" s="37"/>
      <c r="F24" s="35"/>
      <c r="G24" s="35"/>
      <c r="H24" s="35"/>
      <c r="I24" s="35"/>
      <c r="J24" s="35"/>
      <c r="K24" s="35"/>
      <c r="L24" s="25"/>
    </row>
    <row r="25" spans="2:12" ht="12.75" customHeight="1" x14ac:dyDescent="0.2">
      <c r="B25" s="21"/>
      <c r="C25" s="34"/>
      <c r="D25" s="35"/>
      <c r="E25" s="37"/>
      <c r="F25" s="35"/>
      <c r="G25" s="35"/>
      <c r="H25" s="35"/>
      <c r="I25" s="35"/>
      <c r="J25" s="35"/>
      <c r="K25" s="35"/>
      <c r="L25" s="25"/>
    </row>
    <row r="26" spans="2:12" ht="12.75" customHeight="1" x14ac:dyDescent="0.2">
      <c r="B26" s="21"/>
      <c r="C26" s="34"/>
      <c r="D26" s="35" t="s">
        <v>80</v>
      </c>
      <c r="E26" s="35"/>
      <c r="F26" s="96" t="s">
        <v>81</v>
      </c>
      <c r="G26" s="96" t="s">
        <v>81</v>
      </c>
      <c r="H26" s="96" t="s">
        <v>81</v>
      </c>
      <c r="I26" s="96" t="s">
        <v>81</v>
      </c>
      <c r="J26" s="96" t="s">
        <v>81</v>
      </c>
      <c r="K26" s="35"/>
      <c r="L26" s="25"/>
    </row>
    <row r="27" spans="2:12" ht="12.75" customHeight="1" x14ac:dyDescent="0.2">
      <c r="B27" s="21"/>
      <c r="C27" s="34"/>
      <c r="D27" s="35" t="s">
        <v>115</v>
      </c>
      <c r="E27" s="35"/>
      <c r="F27" s="103" t="s">
        <v>110</v>
      </c>
      <c r="G27" s="103">
        <v>13</v>
      </c>
      <c r="H27" s="103">
        <v>14</v>
      </c>
      <c r="I27" s="103">
        <v>15</v>
      </c>
      <c r="J27" s="103">
        <v>16</v>
      </c>
      <c r="K27" s="35"/>
      <c r="L27" s="25"/>
    </row>
    <row r="28" spans="2:12" ht="12.75" customHeight="1" x14ac:dyDescent="0.2">
      <c r="B28" s="21"/>
      <c r="C28" s="34"/>
      <c r="D28" s="35" t="s">
        <v>82</v>
      </c>
      <c r="E28" s="35"/>
      <c r="F28" s="43">
        <v>11</v>
      </c>
      <c r="G28" s="43">
        <v>11</v>
      </c>
      <c r="H28" s="43">
        <v>11</v>
      </c>
      <c r="I28" s="43">
        <v>11</v>
      </c>
      <c r="J28" s="43">
        <v>11</v>
      </c>
      <c r="K28" s="35"/>
      <c r="L28" s="25"/>
    </row>
    <row r="29" spans="2:12" ht="12.75" customHeight="1" x14ac:dyDescent="0.2">
      <c r="B29" s="21"/>
      <c r="C29" s="34"/>
      <c r="D29" s="35" t="s">
        <v>83</v>
      </c>
      <c r="E29" s="35"/>
      <c r="F29" s="106">
        <f>ROUND(VLOOKUP(F27,tabelsalaris2016VO,F28+2,FALSE),0)</f>
        <v>3770</v>
      </c>
      <c r="G29" s="106">
        <f>ROUND(VLOOKUP(G27,tabelsalaris2016VO,G28+2,FALSE),0)</f>
        <v>5502</v>
      </c>
      <c r="H29" s="106">
        <f>ROUND(VLOOKUP(H27,tabelsalaris2016VO,H28+2,FALSE),0)</f>
        <v>6290</v>
      </c>
      <c r="I29" s="106">
        <f>ROUND(VLOOKUP(I27,tabelsalaris2016VO,I28+2,FALSE),0)</f>
        <v>6698</v>
      </c>
      <c r="J29" s="106">
        <f>ROUND(VLOOKUP(J27,tabelsalaris2016VO,J28+2,FALSE),0)</f>
        <v>7357</v>
      </c>
      <c r="K29" s="35"/>
      <c r="L29" s="25"/>
    </row>
    <row r="30" spans="2:12" ht="12.75" customHeight="1" x14ac:dyDescent="0.2">
      <c r="B30" s="21"/>
      <c r="C30" s="34"/>
      <c r="D30" s="35" t="s">
        <v>77</v>
      </c>
      <c r="E30" s="35"/>
      <c r="F30" s="104">
        <v>0.35</v>
      </c>
      <c r="G30" s="104">
        <v>0.35</v>
      </c>
      <c r="H30" s="104">
        <v>0.35</v>
      </c>
      <c r="I30" s="104">
        <v>0.35</v>
      </c>
      <c r="J30" s="104">
        <v>0.35</v>
      </c>
      <c r="K30" s="35"/>
      <c r="L30" s="25"/>
    </row>
    <row r="31" spans="2:12" ht="12.75" customHeight="1" x14ac:dyDescent="0.2">
      <c r="B31" s="21"/>
      <c r="C31" s="34"/>
      <c r="D31" s="35" t="s">
        <v>84</v>
      </c>
      <c r="E31" s="35"/>
      <c r="F31" s="106">
        <f>+F29*F30</f>
        <v>1319.5</v>
      </c>
      <c r="G31" s="106">
        <f>+G29*G30</f>
        <v>1925.6999999999998</v>
      </c>
      <c r="H31" s="106">
        <f>+H29*H30</f>
        <v>2201.5</v>
      </c>
      <c r="I31" s="106">
        <f>+I29*I30</f>
        <v>2344.2999999999997</v>
      </c>
      <c r="J31" s="106">
        <f>+J29*J30</f>
        <v>2574.9499999999998</v>
      </c>
      <c r="K31" s="35"/>
      <c r="L31" s="25"/>
    </row>
    <row r="32" spans="2:12" ht="12.75" customHeight="1" x14ac:dyDescent="0.2">
      <c r="B32" s="21"/>
      <c r="C32" s="34"/>
      <c r="D32" s="35" t="s">
        <v>85</v>
      </c>
      <c r="E32" s="35"/>
      <c r="F32" s="105">
        <f>+tab!$E$101</f>
        <v>0.53</v>
      </c>
      <c r="G32" s="105">
        <f>+tab!$E$101</f>
        <v>0.53</v>
      </c>
      <c r="H32" s="105">
        <f>+tab!$E$101</f>
        <v>0.53</v>
      </c>
      <c r="I32" s="105">
        <f>+tab!$E$101</f>
        <v>0.53</v>
      </c>
      <c r="J32" s="105">
        <f>+tab!$E$101</f>
        <v>0.53</v>
      </c>
      <c r="K32" s="35"/>
      <c r="L32" s="25"/>
    </row>
    <row r="33" spans="2:13" ht="12.75" customHeight="1" x14ac:dyDescent="0.2">
      <c r="B33" s="21"/>
      <c r="C33" s="34"/>
      <c r="D33" s="191" t="s">
        <v>807</v>
      </c>
      <c r="E33" s="35"/>
      <c r="F33" s="107">
        <f>+F31*(1+F32)*12</f>
        <v>24226.02</v>
      </c>
      <c r="G33" s="107">
        <f>+G31*(1+G32)*12</f>
        <v>35355.851999999999</v>
      </c>
      <c r="H33" s="107">
        <f>+H31*(1+H32)*12</f>
        <v>40419.54</v>
      </c>
      <c r="I33" s="107">
        <f>+I31*(1+I32)*12</f>
        <v>43041.347999999998</v>
      </c>
      <c r="J33" s="107">
        <f>+J31*(1+J32)*12</f>
        <v>47276.081999999995</v>
      </c>
      <c r="K33" s="35"/>
      <c r="L33" s="25"/>
    </row>
    <row r="34" spans="2:13" ht="12.75" customHeight="1" x14ac:dyDescent="0.2">
      <c r="B34" s="21"/>
      <c r="C34" s="34"/>
      <c r="D34" s="35"/>
      <c r="E34" s="35"/>
      <c r="F34" s="186"/>
      <c r="G34" s="186"/>
      <c r="H34" s="186"/>
      <c r="I34" s="186"/>
      <c r="J34" s="186"/>
      <c r="K34" s="35"/>
      <c r="L34" s="25"/>
      <c r="M34" s="14"/>
    </row>
    <row r="35" spans="2:13" ht="12.75" customHeight="1" x14ac:dyDescent="0.2">
      <c r="B35" s="21"/>
      <c r="C35" s="34"/>
      <c r="D35" s="35"/>
      <c r="E35" s="35"/>
      <c r="F35" s="186"/>
      <c r="G35" s="186"/>
      <c r="H35" s="186"/>
      <c r="I35" s="186"/>
      <c r="J35" s="186"/>
      <c r="K35" s="35"/>
      <c r="L35" s="25"/>
      <c r="M35" s="14"/>
    </row>
    <row r="36" spans="2:13" ht="12.75" customHeight="1" x14ac:dyDescent="0.2">
      <c r="B36" s="21"/>
      <c r="C36" s="34"/>
      <c r="D36" s="35" t="s">
        <v>80</v>
      </c>
      <c r="E36" s="35"/>
      <c r="F36" s="96" t="s">
        <v>81</v>
      </c>
      <c r="G36" s="96" t="s">
        <v>81</v>
      </c>
      <c r="H36" s="96" t="s">
        <v>81</v>
      </c>
      <c r="I36" s="96" t="s">
        <v>81</v>
      </c>
      <c r="J36" s="96" t="s">
        <v>81</v>
      </c>
      <c r="K36" s="35"/>
      <c r="L36" s="25"/>
    </row>
    <row r="37" spans="2:13" ht="12.75" customHeight="1" x14ac:dyDescent="0.2">
      <c r="B37" s="21"/>
      <c r="C37" s="34"/>
      <c r="D37" s="35" t="s">
        <v>115</v>
      </c>
      <c r="E37" s="35"/>
      <c r="F37" s="103" t="s">
        <v>110</v>
      </c>
      <c r="G37" s="103" t="s">
        <v>111</v>
      </c>
      <c r="H37" s="103" t="s">
        <v>112</v>
      </c>
      <c r="I37" s="103" t="s">
        <v>112</v>
      </c>
      <c r="J37" s="103" t="s">
        <v>112</v>
      </c>
      <c r="K37" s="35"/>
      <c r="L37" s="25"/>
    </row>
    <row r="38" spans="2:13" ht="12.75" customHeight="1" x14ac:dyDescent="0.2">
      <c r="B38" s="21"/>
      <c r="C38" s="34"/>
      <c r="D38" s="35" t="s">
        <v>82</v>
      </c>
      <c r="E38" s="35"/>
      <c r="F38" s="43">
        <v>12</v>
      </c>
      <c r="G38" s="43">
        <v>12</v>
      </c>
      <c r="H38" s="43">
        <v>12</v>
      </c>
      <c r="I38" s="43">
        <v>12</v>
      </c>
      <c r="J38" s="43">
        <v>12</v>
      </c>
      <c r="K38" s="35"/>
      <c r="L38" s="25"/>
    </row>
    <row r="39" spans="2:13" ht="12.75" customHeight="1" x14ac:dyDescent="0.2">
      <c r="B39" s="21"/>
      <c r="C39" s="34"/>
      <c r="D39" s="35" t="s">
        <v>83</v>
      </c>
      <c r="E39" s="35"/>
      <c r="F39" s="106">
        <f>ROUND(VLOOKUP(F37,tabelsalaris2016VO,F38+2,FALSE),0)</f>
        <v>3978</v>
      </c>
      <c r="G39" s="106">
        <f>ROUND(VLOOKUP(G37,tabelsalaris2016VO,G38+2,FALSE),0)</f>
        <v>4639</v>
      </c>
      <c r="H39" s="106">
        <f>ROUND(VLOOKUP(H37,tabelsalaris2016VO,H38+2,FALSE),0)</f>
        <v>5279</v>
      </c>
      <c r="I39" s="106">
        <f>ROUND(VLOOKUP(I37,tabelsalaris2016VO,I38+2,FALSE),0)</f>
        <v>5279</v>
      </c>
      <c r="J39" s="106">
        <f>ROUND(VLOOKUP(J37,tabelsalaris2016VO,J38+2,FALSE),0)</f>
        <v>5279</v>
      </c>
      <c r="K39" s="35"/>
      <c r="L39" s="25"/>
    </row>
    <row r="40" spans="2:13" ht="12.75" customHeight="1" x14ac:dyDescent="0.2">
      <c r="B40" s="21"/>
      <c r="C40" s="34"/>
      <c r="D40" s="35" t="s">
        <v>77</v>
      </c>
      <c r="E40" s="35"/>
      <c r="F40" s="104">
        <v>0.3</v>
      </c>
      <c r="G40" s="104">
        <v>0.35</v>
      </c>
      <c r="H40" s="104">
        <v>0.45</v>
      </c>
      <c r="I40" s="104">
        <v>0.5</v>
      </c>
      <c r="J40" s="104">
        <v>0.35</v>
      </c>
      <c r="K40" s="35"/>
      <c r="L40" s="25"/>
    </row>
    <row r="41" spans="2:13" ht="12.75" customHeight="1" x14ac:dyDescent="0.2">
      <c r="B41" s="21"/>
      <c r="C41" s="34"/>
      <c r="D41" s="35" t="s">
        <v>84</v>
      </c>
      <c r="E41" s="35"/>
      <c r="F41" s="106">
        <f>+F39*F40</f>
        <v>1193.3999999999999</v>
      </c>
      <c r="G41" s="106">
        <f>+G39*G40</f>
        <v>1623.6499999999999</v>
      </c>
      <c r="H41" s="106">
        <f>+H39*H40</f>
        <v>2375.5500000000002</v>
      </c>
      <c r="I41" s="106">
        <f>+I39*I40</f>
        <v>2639.5</v>
      </c>
      <c r="J41" s="106">
        <f>+J39*J40</f>
        <v>1847.6499999999999</v>
      </c>
      <c r="K41" s="35"/>
      <c r="L41" s="25"/>
    </row>
    <row r="42" spans="2:13" ht="12.75" customHeight="1" x14ac:dyDescent="0.2">
      <c r="B42" s="21"/>
      <c r="C42" s="34"/>
      <c r="D42" s="35" t="s">
        <v>85</v>
      </c>
      <c r="E42" s="35"/>
      <c r="F42" s="105">
        <f>+tab!$E$101</f>
        <v>0.53</v>
      </c>
      <c r="G42" s="105">
        <f>+tab!$E$101</f>
        <v>0.53</v>
      </c>
      <c r="H42" s="105">
        <f>+tab!$E$101</f>
        <v>0.53</v>
      </c>
      <c r="I42" s="105">
        <f>+tab!$E$101</f>
        <v>0.53</v>
      </c>
      <c r="J42" s="105">
        <f>+tab!$E$101</f>
        <v>0.53</v>
      </c>
      <c r="K42" s="35"/>
      <c r="L42" s="25"/>
    </row>
    <row r="43" spans="2:13" ht="12.75" customHeight="1" x14ac:dyDescent="0.2">
      <c r="B43" s="21"/>
      <c r="C43" s="34"/>
      <c r="D43" s="191" t="s">
        <v>807</v>
      </c>
      <c r="E43" s="35"/>
      <c r="F43" s="107">
        <f>+F41*(1+F42)*12</f>
        <v>21910.823999999997</v>
      </c>
      <c r="G43" s="107">
        <f>+G41*(1+G42)*12</f>
        <v>29810.214</v>
      </c>
      <c r="H43" s="107">
        <f>+H41*(1+H42)*12</f>
        <v>43615.098000000005</v>
      </c>
      <c r="I43" s="107">
        <f>+I41*(1+I42)*12</f>
        <v>48461.22</v>
      </c>
      <c r="J43" s="107">
        <f>+J41*(1+J42)*12</f>
        <v>33922.853999999992</v>
      </c>
      <c r="K43" s="35"/>
      <c r="L43" s="25"/>
    </row>
    <row r="44" spans="2:13" ht="12.75" customHeight="1" x14ac:dyDescent="0.2">
      <c r="B44" s="21"/>
      <c r="C44" s="39"/>
      <c r="D44" s="40"/>
      <c r="E44" s="40"/>
      <c r="F44" s="41"/>
      <c r="G44" s="41"/>
      <c r="H44" s="41"/>
      <c r="I44" s="41"/>
      <c r="J44" s="41"/>
      <c r="K44" s="40"/>
      <c r="L44" s="25"/>
    </row>
    <row r="45" spans="2:13" ht="12.75" customHeight="1" x14ac:dyDescent="0.2">
      <c r="B45" s="21"/>
      <c r="C45" s="22"/>
      <c r="D45" s="22"/>
      <c r="E45" s="22"/>
      <c r="F45" s="24"/>
      <c r="G45" s="24"/>
      <c r="H45" s="24"/>
      <c r="I45" s="24"/>
      <c r="J45" s="24"/>
      <c r="K45" s="22"/>
      <c r="L45" s="25"/>
    </row>
    <row r="46" spans="2:13" ht="12.75" customHeight="1" x14ac:dyDescent="0.2">
      <c r="B46" s="183"/>
      <c r="C46" s="163"/>
      <c r="D46" s="163"/>
      <c r="E46" s="163"/>
      <c r="F46" s="163"/>
      <c r="G46" s="163"/>
      <c r="H46" s="163"/>
      <c r="I46" s="163"/>
      <c r="J46" s="163"/>
      <c r="K46" s="654" t="s">
        <v>429</v>
      </c>
      <c r="L46" s="185"/>
    </row>
    <row r="47" spans="2:13" ht="12.75" customHeight="1" x14ac:dyDescent="0.2"/>
    <row r="48" spans="2:13" ht="12.75" customHeight="1" x14ac:dyDescent="0.2"/>
    <row r="49" spans="3:4" ht="12.75" customHeight="1" x14ac:dyDescent="0.2"/>
    <row r="50" spans="3:4" ht="12.75" customHeight="1" x14ac:dyDescent="0.2"/>
    <row r="51" spans="3:4" ht="12.75" customHeight="1" x14ac:dyDescent="0.2"/>
    <row r="52" spans="3:4" ht="12.75" customHeight="1" x14ac:dyDescent="0.2"/>
    <row r="53" spans="3:4" ht="12.75" customHeight="1" x14ac:dyDescent="0.2"/>
    <row r="54" spans="3:4" s="7" customFormat="1" ht="12.75" customHeight="1" x14ac:dyDescent="0.2"/>
    <row r="55" spans="3:4" ht="12.75" customHeight="1" x14ac:dyDescent="0.2"/>
    <row r="56" spans="3:4" ht="12.75" customHeight="1" x14ac:dyDescent="0.2"/>
    <row r="57" spans="3:4" ht="12.75" customHeight="1" x14ac:dyDescent="0.2">
      <c r="C57" s="15"/>
      <c r="D57" s="645" t="s">
        <v>110</v>
      </c>
    </row>
    <row r="58" spans="3:4" ht="12.75" customHeight="1" x14ac:dyDescent="0.2">
      <c r="C58" s="15"/>
      <c r="D58" s="645" t="s">
        <v>111</v>
      </c>
    </row>
    <row r="59" spans="3:4" ht="12.75" customHeight="1" x14ac:dyDescent="0.2">
      <c r="C59" s="15"/>
      <c r="D59" s="645" t="s">
        <v>112</v>
      </c>
    </row>
    <row r="60" spans="3:4" ht="12.75" customHeight="1" x14ac:dyDescent="0.2">
      <c r="C60" s="15"/>
      <c r="D60" s="645" t="s">
        <v>113</v>
      </c>
    </row>
    <row r="61" spans="3:4" ht="12.75" customHeight="1" x14ac:dyDescent="0.2">
      <c r="C61" s="15"/>
      <c r="D61" s="645">
        <v>1</v>
      </c>
    </row>
    <row r="62" spans="3:4" ht="12.75" customHeight="1" x14ac:dyDescent="0.2">
      <c r="C62" s="15"/>
      <c r="D62" s="645">
        <v>2</v>
      </c>
    </row>
    <row r="63" spans="3:4" ht="12.75" customHeight="1" x14ac:dyDescent="0.2">
      <c r="C63" s="15"/>
      <c r="D63" s="645">
        <v>3</v>
      </c>
    </row>
    <row r="64" spans="3:4" ht="12.75" customHeight="1" x14ac:dyDescent="0.2">
      <c r="C64" s="15"/>
      <c r="D64" s="645">
        <v>4</v>
      </c>
    </row>
    <row r="65" spans="3:4" ht="12.75" customHeight="1" x14ac:dyDescent="0.2">
      <c r="C65" s="15"/>
      <c r="D65" s="645">
        <v>5</v>
      </c>
    </row>
    <row r="66" spans="3:4" ht="12.75" customHeight="1" x14ac:dyDescent="0.2">
      <c r="C66" s="15"/>
      <c r="D66" s="645">
        <v>6</v>
      </c>
    </row>
    <row r="67" spans="3:4" ht="12.75" customHeight="1" x14ac:dyDescent="0.2">
      <c r="C67" s="15"/>
      <c r="D67" s="645">
        <v>7</v>
      </c>
    </row>
    <row r="68" spans="3:4" ht="12.75" customHeight="1" x14ac:dyDescent="0.2">
      <c r="C68" s="15"/>
      <c r="D68" s="645">
        <v>8</v>
      </c>
    </row>
    <row r="69" spans="3:4" ht="12.75" customHeight="1" x14ac:dyDescent="0.2">
      <c r="C69" s="15"/>
      <c r="D69" s="645">
        <v>9</v>
      </c>
    </row>
    <row r="70" spans="3:4" ht="12.75" customHeight="1" x14ac:dyDescent="0.2">
      <c r="C70" s="15"/>
      <c r="D70" s="645">
        <v>10</v>
      </c>
    </row>
    <row r="71" spans="3:4" ht="12.75" customHeight="1" x14ac:dyDescent="0.2">
      <c r="C71" s="15"/>
      <c r="D71" s="645">
        <v>11</v>
      </c>
    </row>
    <row r="72" spans="3:4" ht="12.75" customHeight="1" x14ac:dyDescent="0.2">
      <c r="C72" s="15"/>
      <c r="D72" s="645">
        <v>12</v>
      </c>
    </row>
    <row r="73" spans="3:4" ht="12.75" customHeight="1" x14ac:dyDescent="0.2">
      <c r="C73" s="16"/>
      <c r="D73" s="645">
        <v>13</v>
      </c>
    </row>
    <row r="74" spans="3:4" ht="12.75" customHeight="1" x14ac:dyDescent="0.2">
      <c r="C74" s="16"/>
      <c r="D74" s="645">
        <v>14</v>
      </c>
    </row>
    <row r="75" spans="3:4" ht="12.75" customHeight="1" x14ac:dyDescent="0.2">
      <c r="C75" s="16"/>
      <c r="D75" s="645">
        <v>15</v>
      </c>
    </row>
    <row r="76" spans="3:4" ht="12.75" customHeight="1" x14ac:dyDescent="0.2">
      <c r="C76" s="16"/>
      <c r="D76" s="645">
        <v>16</v>
      </c>
    </row>
    <row r="77" spans="3:4" ht="12.75" customHeight="1" x14ac:dyDescent="0.2">
      <c r="C77" s="16"/>
      <c r="D77" s="645">
        <v>17</v>
      </c>
    </row>
    <row r="78" spans="3:4" ht="12.75" customHeight="1" x14ac:dyDescent="0.2">
      <c r="C78" s="16"/>
      <c r="D78" s="645" t="s">
        <v>142</v>
      </c>
    </row>
    <row r="79" spans="3:4" ht="12.75" customHeight="1" x14ac:dyDescent="0.2">
      <c r="C79" s="16"/>
      <c r="D79" s="645" t="s">
        <v>143</v>
      </c>
    </row>
    <row r="80" spans="3:4" ht="12.75" customHeight="1" x14ac:dyDescent="0.2">
      <c r="C80" s="16"/>
      <c r="D80" s="645" t="s">
        <v>144</v>
      </c>
    </row>
    <row r="81" spans="3:6" ht="12.75" customHeight="1" x14ac:dyDescent="0.2">
      <c r="C81" s="16"/>
      <c r="D81" s="645" t="s">
        <v>419</v>
      </c>
    </row>
    <row r="82" spans="3:6" ht="12.75" customHeight="1" x14ac:dyDescent="0.2">
      <c r="C82" s="16"/>
      <c r="D82" s="17"/>
    </row>
    <row r="83" spans="3:6" ht="12.75" customHeight="1" x14ac:dyDescent="0.2">
      <c r="C83" s="16"/>
      <c r="D83" s="17"/>
    </row>
    <row r="84" spans="3:6" ht="12.75" customHeight="1" x14ac:dyDescent="0.2">
      <c r="C84" s="16"/>
      <c r="D84" s="9"/>
    </row>
    <row r="85" spans="3:6" ht="12.75" customHeight="1" x14ac:dyDescent="0.2">
      <c r="C85" s="16"/>
      <c r="D85" s="9"/>
    </row>
    <row r="86" spans="3:6" ht="12.75" customHeight="1" x14ac:dyDescent="0.2">
      <c r="C86" s="16"/>
      <c r="D86" s="9"/>
    </row>
    <row r="87" spans="3:6" ht="12.75" customHeight="1" x14ac:dyDescent="0.2">
      <c r="C87" s="16"/>
      <c r="D87" s="9"/>
    </row>
    <row r="88" spans="3:6" ht="12.75" customHeight="1" x14ac:dyDescent="0.2">
      <c r="C88" s="16"/>
      <c r="D88" s="9"/>
    </row>
    <row r="89" spans="3:6" ht="12.75" customHeight="1" x14ac:dyDescent="0.2">
      <c r="C89" s="16"/>
      <c r="D89" s="9"/>
    </row>
    <row r="90" spans="3:6" ht="12.75" customHeight="1" x14ac:dyDescent="0.2">
      <c r="C90" s="16"/>
      <c r="D90" s="9"/>
    </row>
    <row r="91" spans="3:6" ht="12.75" customHeight="1" x14ac:dyDescent="0.2">
      <c r="C91" s="16"/>
      <c r="D91" s="9"/>
    </row>
    <row r="92" spans="3:6" ht="12.75" customHeight="1" x14ac:dyDescent="0.2">
      <c r="D92" s="9"/>
    </row>
    <row r="93" spans="3:6" ht="12.75" customHeight="1" x14ac:dyDescent="0.2">
      <c r="D93" s="9"/>
    </row>
    <row r="94" spans="3:6" ht="12.75" customHeight="1" x14ac:dyDescent="0.2">
      <c r="D94" s="9"/>
    </row>
    <row r="95" spans="3:6" ht="12.75" customHeight="1" x14ac:dyDescent="0.2">
      <c r="D95" s="9"/>
    </row>
    <row r="96" spans="3:6" ht="12.75" customHeight="1" x14ac:dyDescent="0.2">
      <c r="D96" s="9"/>
      <c r="E96" s="16"/>
      <c r="F96" s="924"/>
    </row>
    <row r="97" spans="3:10" ht="12.75" customHeight="1" x14ac:dyDescent="0.2">
      <c r="D97" s="9"/>
    </row>
    <row r="98" spans="3:10" ht="12.75" customHeight="1" x14ac:dyDescent="0.2"/>
    <row r="99" spans="3:10" ht="12.75" customHeight="1" x14ac:dyDescent="0.2"/>
    <row r="100" spans="3:10" s="7" customFormat="1" ht="12.75" customHeight="1" x14ac:dyDescent="0.2">
      <c r="C100" s="6"/>
    </row>
    <row r="101" spans="3:10" ht="12.75" customHeight="1" x14ac:dyDescent="0.2">
      <c r="C101" s="7"/>
    </row>
    <row r="102" spans="3:10" ht="12.75" customHeight="1" x14ac:dyDescent="0.2"/>
    <row r="103" spans="3:10" ht="12.75" customHeight="1" x14ac:dyDescent="0.2"/>
    <row r="104" spans="3:10" ht="12.75" customHeight="1" x14ac:dyDescent="0.2"/>
    <row r="105" spans="3:10" s="7" customFormat="1" ht="12.75" customHeight="1" x14ac:dyDescent="0.2">
      <c r="C105" s="6"/>
    </row>
    <row r="106" spans="3:10" ht="12.75" customHeight="1" x14ac:dyDescent="0.2">
      <c r="C106" s="7"/>
    </row>
    <row r="107" spans="3:10" ht="12.75" customHeight="1" x14ac:dyDescent="0.2"/>
    <row r="108" spans="3:10" ht="12.75" customHeight="1" x14ac:dyDescent="0.2">
      <c r="D108" s="7"/>
      <c r="E108" s="7"/>
      <c r="F108" s="7"/>
      <c r="G108" s="7"/>
      <c r="H108" s="7"/>
      <c r="I108" s="7"/>
      <c r="J108" s="7"/>
    </row>
    <row r="109" spans="3:10" ht="12.75" customHeight="1" x14ac:dyDescent="0.2">
      <c r="D109" s="7"/>
      <c r="E109" s="7"/>
      <c r="F109" s="7"/>
      <c r="G109" s="7"/>
      <c r="H109" s="7"/>
      <c r="I109" s="7"/>
      <c r="J109" s="7"/>
    </row>
    <row r="110" spans="3:10" s="7" customFormat="1" ht="12.75" customHeight="1" x14ac:dyDescent="0.2">
      <c r="C110" s="6"/>
    </row>
    <row r="111" spans="3:10" ht="12.75" customHeight="1" x14ac:dyDescent="0.2">
      <c r="C111" s="7"/>
    </row>
    <row r="112" spans="3:10"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sheetData>
  <sheetProtection algorithmName="SHA-512" hashValue="Kg2CYs3yZY+gVwLJcc75d8XUswbOzPTWo5kX+VgSlutbVffzGEA8lihdIad17AF39R7ysbYjQ4N3wJW+m709Ng==" saltValue="24wp9tVpp8IL2wh69mdj1g==" spinCount="100000" sheet="1" objects="1" scenarios="1"/>
  <phoneticPr fontId="5" type="noConversion"/>
  <dataValidations count="1">
    <dataValidation type="list" allowBlank="1" showInputMessage="1" showErrorMessage="1" sqref="F15:J15 F37:J37 F27:J27 F19:J19">
      <formula1>$D$56:$D$82</formula1>
    </dataValidation>
  </dataValidations>
  <hyperlinks>
    <hyperlink ref="K46" r:id="rId1"/>
  </hyperlinks>
  <pageMargins left="0.75" right="0.75" top="1" bottom="1" header="0.5" footer="0.5"/>
  <pageSetup paperSize="9" scale="79" orientation="landscape" r:id="rId2"/>
  <headerFooter alignWithMargins="0">
    <oddHeader>&amp;L&amp;"Arial,Vet"&amp;F&amp;R&amp;"Arial,Vet"&amp;A</oddHeader>
    <oddFooter>&amp;L&amp;"Arial,Vet"keizer&amp;C&amp;"Arial,Vet"pagina &amp;P&amp;R&amp;"Arial,Vet"&amp;D</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H352"/>
  <sheetViews>
    <sheetView zoomScaleNormal="100" zoomScaleSheetLayoutView="80" workbookViewId="0">
      <selection activeCell="B2" sqref="B2"/>
    </sheetView>
  </sheetViews>
  <sheetFormatPr defaultRowHeight="12.75" x14ac:dyDescent="0.2"/>
  <cols>
    <col min="1" max="1" width="3.7109375" style="110" customWidth="1"/>
    <col min="2" max="3" width="2.7109375" style="110" customWidth="1"/>
    <col min="4" max="4" width="4.5703125" style="111" customWidth="1"/>
    <col min="5" max="5" width="27.7109375" style="111" customWidth="1"/>
    <col min="6" max="7" width="7.7109375" style="112" customWidth="1"/>
    <col min="8" max="12" width="8.7109375" style="113" customWidth="1"/>
    <col min="13" max="13" width="8.7109375" style="113" hidden="1" customWidth="1"/>
    <col min="14" max="14" width="1.7109375" style="113" customWidth="1"/>
    <col min="15" max="19" width="12.7109375" style="110" customWidth="1"/>
    <col min="20" max="20" width="3" style="110" customWidth="1"/>
    <col min="21" max="21" width="2.85546875" style="110" customWidth="1"/>
    <col min="22" max="22" width="12.85546875" style="113" customWidth="1"/>
    <col min="23" max="24" width="12.7109375" style="113" customWidth="1"/>
    <col min="25" max="25" width="12.7109375" style="110" customWidth="1"/>
    <col min="26" max="26" width="14.140625" style="110" customWidth="1"/>
    <col min="27" max="27" width="2.7109375" style="110" customWidth="1"/>
    <col min="28" max="28" width="3" style="110" customWidth="1"/>
    <col min="29" max="29" width="2.7109375" style="110" customWidth="1"/>
    <col min="30" max="30" width="2.7109375" style="1160" customWidth="1"/>
    <col min="31" max="33" width="12.7109375" style="1160" customWidth="1"/>
    <col min="34" max="35" width="12.85546875" style="1160" customWidth="1"/>
    <col min="36" max="39" width="12.7109375" style="1160" customWidth="1"/>
    <col min="40" max="41" width="2.7109375" style="1160" customWidth="1"/>
    <col min="42" max="42" width="12.7109375" style="1160" customWidth="1"/>
    <col min="43" max="43" width="12.85546875" style="1160" customWidth="1"/>
    <col min="44" max="50" width="12.7109375" style="1160" customWidth="1"/>
    <col min="51" max="51" width="2.85546875" style="1160" customWidth="1"/>
    <col min="52" max="52" width="12.7109375" style="1160" customWidth="1"/>
    <col min="53" max="54" width="12.85546875" style="110" customWidth="1"/>
    <col min="55" max="16384" width="9.140625" style="110"/>
  </cols>
  <sheetData>
    <row r="2" spans="2:52" x14ac:dyDescent="0.2">
      <c r="B2" s="698"/>
      <c r="C2" s="674"/>
      <c r="D2" s="1101"/>
      <c r="E2" s="1101"/>
      <c r="F2" s="675"/>
      <c r="G2" s="675"/>
      <c r="H2" s="1102"/>
      <c r="I2" s="1102"/>
      <c r="J2" s="1102"/>
      <c r="K2" s="1102"/>
      <c r="L2" s="1102"/>
      <c r="M2" s="1102"/>
      <c r="N2" s="1102"/>
      <c r="O2" s="674"/>
      <c r="P2" s="674"/>
      <c r="Q2" s="674"/>
      <c r="R2" s="674"/>
      <c r="S2" s="674"/>
      <c r="T2" s="674"/>
      <c r="U2" s="678"/>
      <c r="V2" s="853"/>
      <c r="W2" s="739"/>
      <c r="X2" s="739"/>
      <c r="Y2" s="739"/>
      <c r="Z2" s="739"/>
      <c r="AA2" s="739"/>
      <c r="AB2" s="1160"/>
      <c r="AC2" s="1160"/>
      <c r="AY2" s="739"/>
      <c r="AZ2" s="110"/>
    </row>
    <row r="3" spans="2:52" x14ac:dyDescent="0.2">
      <c r="B3" s="944"/>
      <c r="C3" s="739"/>
      <c r="D3" s="1060"/>
      <c r="E3" s="1060"/>
      <c r="F3" s="740"/>
      <c r="G3" s="740"/>
      <c r="H3" s="853"/>
      <c r="I3" s="853"/>
      <c r="J3" s="853"/>
      <c r="K3" s="853"/>
      <c r="L3" s="853"/>
      <c r="M3" s="853"/>
      <c r="N3" s="853"/>
      <c r="O3" s="739"/>
      <c r="P3" s="739"/>
      <c r="Q3" s="739"/>
      <c r="R3" s="739"/>
      <c r="S3" s="739"/>
      <c r="T3" s="739"/>
      <c r="U3" s="945"/>
      <c r="V3" s="853"/>
      <c r="W3" s="739"/>
      <c r="X3" s="739"/>
      <c r="Y3" s="739"/>
      <c r="Z3" s="739"/>
      <c r="AA3" s="739"/>
      <c r="AB3" s="1160"/>
      <c r="AC3" s="1160"/>
      <c r="AY3" s="739"/>
      <c r="AZ3" s="110"/>
    </row>
    <row r="4" spans="2:52" x14ac:dyDescent="0.2">
      <c r="B4" s="944"/>
      <c r="C4" s="739"/>
      <c r="D4" s="1060"/>
      <c r="E4" s="1060"/>
      <c r="F4" s="740"/>
      <c r="G4" s="740"/>
      <c r="H4" s="853"/>
      <c r="I4" s="853"/>
      <c r="J4" s="853"/>
      <c r="K4" s="853"/>
      <c r="L4" s="853"/>
      <c r="M4" s="853"/>
      <c r="N4" s="853"/>
      <c r="O4" s="739"/>
      <c r="P4" s="739"/>
      <c r="Q4" s="739"/>
      <c r="R4" s="739"/>
      <c r="S4" s="739"/>
      <c r="T4" s="739"/>
      <c r="U4" s="945"/>
      <c r="V4" s="853"/>
      <c r="W4" s="739"/>
      <c r="X4" s="739"/>
      <c r="Y4" s="739"/>
      <c r="Z4" s="739"/>
      <c r="AA4" s="739"/>
      <c r="AB4" s="1160"/>
      <c r="AC4" s="1160"/>
      <c r="AY4" s="739"/>
      <c r="AZ4" s="110"/>
    </row>
    <row r="5" spans="2:52" x14ac:dyDescent="0.2">
      <c r="B5" s="944"/>
      <c r="C5" s="739"/>
      <c r="D5" s="1060"/>
      <c r="E5" s="1060"/>
      <c r="F5" s="740"/>
      <c r="G5" s="740"/>
      <c r="H5" s="853"/>
      <c r="I5" s="853"/>
      <c r="J5" s="853"/>
      <c r="K5" s="853"/>
      <c r="L5" s="853"/>
      <c r="M5" s="853"/>
      <c r="N5" s="853"/>
      <c r="O5" s="739"/>
      <c r="P5" s="739"/>
      <c r="Q5" s="739"/>
      <c r="R5" s="739"/>
      <c r="S5" s="739"/>
      <c r="T5" s="739"/>
      <c r="U5" s="945"/>
      <c r="V5" s="853"/>
      <c r="W5" s="739"/>
      <c r="X5" s="739"/>
      <c r="Y5" s="739"/>
      <c r="Z5" s="739"/>
      <c r="AA5" s="739"/>
      <c r="AB5" s="1160"/>
      <c r="AC5" s="1160"/>
      <c r="AY5" s="739"/>
      <c r="AZ5" s="110"/>
    </row>
    <row r="6" spans="2:52" ht="18.75" x14ac:dyDescent="0.3">
      <c r="B6" s="944"/>
      <c r="C6" s="739"/>
      <c r="D6" s="1060"/>
      <c r="E6" s="1172" t="s">
        <v>719</v>
      </c>
      <c r="F6" s="740"/>
      <c r="G6" s="740"/>
      <c r="H6" s="853"/>
      <c r="I6" s="853"/>
      <c r="J6" s="853"/>
      <c r="K6" s="853"/>
      <c r="L6" s="853"/>
      <c r="M6" s="853"/>
      <c r="N6" s="853"/>
      <c r="O6" s="739"/>
      <c r="P6" s="739"/>
      <c r="Q6" s="739"/>
      <c r="R6" s="739"/>
      <c r="S6" s="739"/>
      <c r="T6" s="739"/>
      <c r="U6" s="945"/>
      <c r="V6" s="853"/>
      <c r="W6" s="739"/>
      <c r="X6" s="739"/>
      <c r="Y6" s="739"/>
      <c r="Z6" s="739"/>
      <c r="AA6" s="739"/>
      <c r="AB6" s="1160"/>
      <c r="AC6" s="1160"/>
      <c r="AY6" s="739"/>
      <c r="AZ6" s="110"/>
    </row>
    <row r="7" spans="2:52" x14ac:dyDescent="0.2">
      <c r="B7" s="944"/>
      <c r="C7" s="739"/>
      <c r="D7" s="1060"/>
      <c r="E7" s="1060"/>
      <c r="F7" s="740"/>
      <c r="G7" s="740"/>
      <c r="H7" s="853"/>
      <c r="I7" s="853"/>
      <c r="J7" s="853"/>
      <c r="K7" s="853"/>
      <c r="L7" s="853"/>
      <c r="M7" s="853"/>
      <c r="N7" s="853"/>
      <c r="O7" s="739"/>
      <c r="P7" s="739"/>
      <c r="Q7" s="739"/>
      <c r="R7" s="739"/>
      <c r="S7" s="739"/>
      <c r="T7" s="739"/>
      <c r="U7" s="945"/>
      <c r="V7" s="853"/>
      <c r="W7" s="739"/>
      <c r="X7" s="739"/>
      <c r="Y7" s="739"/>
      <c r="Z7" s="739"/>
      <c r="AA7" s="739"/>
      <c r="AB7" s="1160"/>
      <c r="AC7" s="1160"/>
      <c r="AY7" s="739"/>
      <c r="AZ7" s="110"/>
    </row>
    <row r="8" spans="2:52" x14ac:dyDescent="0.2">
      <c r="B8" s="944"/>
      <c r="C8" s="739"/>
      <c r="D8" s="1060"/>
      <c r="E8" s="1173" t="s">
        <v>386</v>
      </c>
      <c r="F8" s="1174"/>
      <c r="G8" s="1174"/>
      <c r="H8" s="1175"/>
      <c r="I8" s="1175"/>
      <c r="J8" s="1175"/>
      <c r="K8" s="1175"/>
      <c r="L8" s="1175"/>
      <c r="M8" s="1175"/>
      <c r="N8" s="1175"/>
      <c r="O8" s="1178">
        <f t="shared" ref="O8:S8" si="0">+O50</f>
        <v>2016</v>
      </c>
      <c r="P8" s="1178">
        <f t="shared" si="0"/>
        <v>2017</v>
      </c>
      <c r="Q8" s="1178">
        <f t="shared" si="0"/>
        <v>2018</v>
      </c>
      <c r="R8" s="1178">
        <f t="shared" si="0"/>
        <v>2019</v>
      </c>
      <c r="S8" s="1178">
        <f t="shared" si="0"/>
        <v>2020</v>
      </c>
      <c r="T8" s="739"/>
      <c r="U8" s="1109"/>
      <c r="V8" s="739"/>
      <c r="W8" s="739"/>
      <c r="X8" s="739"/>
      <c r="Y8" s="739"/>
      <c r="Z8" s="739"/>
      <c r="AA8" s="1160"/>
      <c r="AB8" s="1160"/>
      <c r="AC8" s="1160"/>
      <c r="AX8" s="739"/>
      <c r="AY8" s="110"/>
      <c r="AZ8" s="110"/>
    </row>
    <row r="9" spans="2:52" x14ac:dyDescent="0.2">
      <c r="B9" s="944"/>
      <c r="C9" s="739"/>
      <c r="D9" s="1060"/>
      <c r="E9" s="1173"/>
      <c r="F9" s="1174"/>
      <c r="G9" s="1174"/>
      <c r="H9" s="1175"/>
      <c r="I9" s="1175"/>
      <c r="J9" s="1175"/>
      <c r="K9" s="1175"/>
      <c r="L9" s="1175"/>
      <c r="M9" s="1175"/>
      <c r="N9" s="1175"/>
      <c r="O9" s="1177"/>
      <c r="P9" s="1177"/>
      <c r="Q9" s="1177"/>
      <c r="R9" s="1177"/>
      <c r="S9" s="1177"/>
      <c r="T9" s="739"/>
      <c r="U9" s="1109"/>
      <c r="V9" s="739"/>
      <c r="W9" s="739"/>
      <c r="X9" s="739"/>
      <c r="Y9" s="739"/>
      <c r="Z9" s="739"/>
      <c r="AA9" s="1160"/>
      <c r="AB9" s="1160"/>
      <c r="AC9" s="1160"/>
      <c r="AX9" s="739"/>
      <c r="AY9" s="110"/>
      <c r="AZ9" s="110"/>
    </row>
    <row r="10" spans="2:52" x14ac:dyDescent="0.2">
      <c r="B10" s="944"/>
      <c r="C10" s="739"/>
      <c r="D10" s="1060"/>
      <c r="E10" s="1176" t="s">
        <v>925</v>
      </c>
      <c r="F10" s="1174"/>
      <c r="G10" s="1174"/>
      <c r="H10" s="1175"/>
      <c r="I10" s="1175"/>
      <c r="J10" s="1175"/>
      <c r="K10" s="1175"/>
      <c r="L10" s="1175"/>
      <c r="M10" s="1175"/>
      <c r="N10" s="1175"/>
      <c r="O10" s="1108">
        <f>+pers!I19</f>
        <v>0</v>
      </c>
      <c r="P10" s="1108">
        <f>+pers!J19</f>
        <v>0</v>
      </c>
      <c r="Q10" s="1108">
        <f>+pers!K19</f>
        <v>0</v>
      </c>
      <c r="R10" s="1108">
        <f>+pers!L19</f>
        <v>0</v>
      </c>
      <c r="S10" s="1108">
        <f>+pers!M19</f>
        <v>0</v>
      </c>
      <c r="T10" s="739"/>
      <c r="U10" s="1109"/>
      <c r="V10" s="739"/>
      <c r="W10" s="739"/>
      <c r="X10" s="739"/>
      <c r="Y10" s="739"/>
      <c r="Z10" s="739"/>
      <c r="AA10" s="1160"/>
      <c r="AB10" s="1160"/>
      <c r="AC10" s="1160"/>
      <c r="AX10" s="739"/>
      <c r="AY10" s="110"/>
      <c r="AZ10" s="110"/>
    </row>
    <row r="11" spans="2:52" x14ac:dyDescent="0.2">
      <c r="B11" s="944"/>
      <c r="C11" s="739"/>
      <c r="D11" s="1060"/>
      <c r="E11" s="1176" t="s">
        <v>926</v>
      </c>
      <c r="F11" s="1174"/>
      <c r="G11" s="1174"/>
      <c r="H11" s="1175"/>
      <c r="I11" s="1175"/>
      <c r="J11" s="1175"/>
      <c r="K11" s="1175"/>
      <c r="L11" s="1175"/>
      <c r="M11" s="1175"/>
      <c r="N11" s="1175"/>
      <c r="O11" s="1108">
        <f>+O52</f>
        <v>0</v>
      </c>
      <c r="P11" s="1108">
        <f t="shared" ref="P11:S11" si="1">+P52</f>
        <v>0</v>
      </c>
      <c r="Q11" s="1108">
        <f t="shared" si="1"/>
        <v>0</v>
      </c>
      <c r="R11" s="1108">
        <f t="shared" si="1"/>
        <v>0</v>
      </c>
      <c r="S11" s="1108">
        <f t="shared" si="1"/>
        <v>0</v>
      </c>
      <c r="T11" s="739"/>
      <c r="U11" s="1109"/>
      <c r="V11" s="739"/>
      <c r="W11" s="739"/>
      <c r="X11" s="739"/>
      <c r="Y11" s="739"/>
      <c r="Z11" s="739"/>
      <c r="AA11" s="1160"/>
      <c r="AB11" s="1160"/>
      <c r="AC11" s="1160"/>
      <c r="AX11" s="739"/>
      <c r="AY11" s="110"/>
      <c r="AZ11" s="110"/>
    </row>
    <row r="12" spans="2:52" x14ac:dyDescent="0.2">
      <c r="B12" s="944"/>
      <c r="C12" s="739"/>
      <c r="D12" s="1060"/>
      <c r="E12" s="1176"/>
      <c r="F12" s="1174"/>
      <c r="G12" s="1174"/>
      <c r="H12" s="1175"/>
      <c r="I12" s="1175"/>
      <c r="J12" s="1175"/>
      <c r="K12" s="1175"/>
      <c r="L12" s="1686" t="s">
        <v>1014</v>
      </c>
      <c r="M12" s="1175"/>
      <c r="N12" s="1175"/>
      <c r="O12" s="1110">
        <f>O10-O11</f>
        <v>0</v>
      </c>
      <c r="P12" s="1110">
        <f t="shared" ref="P12:S12" si="2">P10-P11</f>
        <v>0</v>
      </c>
      <c r="Q12" s="1110">
        <f t="shared" si="2"/>
        <v>0</v>
      </c>
      <c r="R12" s="1110">
        <f t="shared" si="2"/>
        <v>0</v>
      </c>
      <c r="S12" s="1110">
        <f t="shared" si="2"/>
        <v>0</v>
      </c>
      <c r="T12" s="739"/>
      <c r="U12" s="1109"/>
      <c r="V12" s="739"/>
      <c r="W12" s="739"/>
      <c r="X12" s="739"/>
      <c r="Y12" s="739"/>
      <c r="Z12" s="739"/>
      <c r="AA12" s="1160"/>
      <c r="AB12" s="1160"/>
      <c r="AC12" s="1160"/>
      <c r="AX12" s="739"/>
      <c r="AY12" s="110"/>
      <c r="AZ12" s="110"/>
    </row>
    <row r="13" spans="2:52" x14ac:dyDescent="0.2">
      <c r="B13" s="944"/>
      <c r="C13" s="739"/>
      <c r="D13" s="1060"/>
      <c r="E13" s="1176" t="s">
        <v>927</v>
      </c>
      <c r="F13" s="1174"/>
      <c r="G13" s="1174"/>
      <c r="H13" s="1175"/>
      <c r="I13" s="1175"/>
      <c r="J13" s="1175"/>
      <c r="K13" s="1175"/>
      <c r="L13" s="1175"/>
      <c r="M13" s="1175"/>
      <c r="N13" s="1175"/>
      <c r="O13" s="1110">
        <f>+pers!I20</f>
        <v>0</v>
      </c>
      <c r="P13" s="1110">
        <f>+pers!J20</f>
        <v>0</v>
      </c>
      <c r="Q13" s="1110">
        <f>+pers!K20</f>
        <v>0</v>
      </c>
      <c r="R13" s="1110">
        <f>+pers!L20</f>
        <v>0</v>
      </c>
      <c r="S13" s="1110">
        <f>+pers!M20</f>
        <v>0</v>
      </c>
      <c r="T13" s="739"/>
      <c r="U13" s="1109"/>
      <c r="V13" s="739"/>
      <c r="W13" s="739"/>
      <c r="X13" s="739"/>
      <c r="Y13" s="739"/>
      <c r="Z13" s="739"/>
      <c r="AA13" s="1160"/>
      <c r="AB13" s="1160"/>
      <c r="AC13" s="1160"/>
      <c r="AX13" s="739"/>
      <c r="AY13" s="110"/>
      <c r="AZ13" s="110"/>
    </row>
    <row r="14" spans="2:52" x14ac:dyDescent="0.2">
      <c r="B14" s="944"/>
      <c r="C14" s="739"/>
      <c r="D14" s="1060"/>
      <c r="E14" s="1176" t="s">
        <v>928</v>
      </c>
      <c r="F14" s="1174"/>
      <c r="G14" s="1174"/>
      <c r="H14" s="1175"/>
      <c r="I14" s="1175"/>
      <c r="J14" s="1175"/>
      <c r="K14" s="1175"/>
      <c r="L14" s="1175"/>
      <c r="M14" s="1175"/>
      <c r="N14" s="1175"/>
      <c r="O14" s="1108">
        <f>+O53</f>
        <v>0</v>
      </c>
      <c r="P14" s="1108">
        <f t="shared" ref="P14:S14" si="3">+P53</f>
        <v>0</v>
      </c>
      <c r="Q14" s="1108">
        <f t="shared" si="3"/>
        <v>0</v>
      </c>
      <c r="R14" s="1108">
        <f t="shared" si="3"/>
        <v>0</v>
      </c>
      <c r="S14" s="1108">
        <f t="shared" si="3"/>
        <v>0</v>
      </c>
      <c r="T14" s="739"/>
      <c r="U14" s="1109"/>
      <c r="V14" s="739"/>
      <c r="W14" s="739"/>
      <c r="X14" s="739"/>
      <c r="Y14" s="739"/>
      <c r="Z14" s="739"/>
      <c r="AA14" s="1160"/>
      <c r="AB14" s="1160"/>
      <c r="AC14" s="1160"/>
      <c r="AX14" s="739"/>
      <c r="AY14" s="110"/>
      <c r="AZ14" s="110"/>
    </row>
    <row r="15" spans="2:52" x14ac:dyDescent="0.2">
      <c r="B15" s="944"/>
      <c r="C15" s="739"/>
      <c r="D15" s="1060"/>
      <c r="E15" s="1060"/>
      <c r="F15" s="740"/>
      <c r="G15" s="740"/>
      <c r="H15" s="853"/>
      <c r="I15" s="853"/>
      <c r="J15" s="853"/>
      <c r="K15" s="853"/>
      <c r="L15" s="1686" t="s">
        <v>1015</v>
      </c>
      <c r="M15" s="853"/>
      <c r="N15" s="853"/>
      <c r="O15" s="1110">
        <f>O13-O14</f>
        <v>0</v>
      </c>
      <c r="P15" s="1110">
        <f t="shared" ref="P15:S15" si="4">P13-P14</f>
        <v>0</v>
      </c>
      <c r="Q15" s="1110">
        <f t="shared" si="4"/>
        <v>0</v>
      </c>
      <c r="R15" s="1110">
        <f t="shared" si="4"/>
        <v>0</v>
      </c>
      <c r="S15" s="1110">
        <f t="shared" si="4"/>
        <v>0</v>
      </c>
      <c r="T15" s="739"/>
      <c r="U15" s="1109"/>
      <c r="V15" s="739"/>
      <c r="W15" s="739"/>
      <c r="X15" s="739"/>
      <c r="Y15" s="739"/>
      <c r="Z15" s="739"/>
      <c r="AA15" s="1160"/>
      <c r="AB15" s="1160"/>
      <c r="AC15" s="1160"/>
      <c r="AX15" s="739"/>
      <c r="AY15" s="110"/>
      <c r="AZ15" s="110"/>
    </row>
    <row r="16" spans="2:52" x14ac:dyDescent="0.2">
      <c r="B16" s="944"/>
      <c r="C16" s="739"/>
      <c r="D16" s="1060"/>
      <c r="E16" s="1060"/>
      <c r="F16" s="740"/>
      <c r="G16" s="740"/>
      <c r="H16" s="853"/>
      <c r="I16" s="853"/>
      <c r="J16" s="853"/>
      <c r="K16" s="853"/>
      <c r="L16" s="853"/>
      <c r="M16" s="853"/>
      <c r="N16" s="853"/>
      <c r="O16" s="739"/>
      <c r="P16" s="739"/>
      <c r="Q16" s="739"/>
      <c r="R16" s="739"/>
      <c r="S16" s="739"/>
      <c r="T16" s="739"/>
      <c r="U16" s="1109"/>
      <c r="V16" s="739"/>
      <c r="W16" s="739"/>
      <c r="X16" s="739"/>
      <c r="Y16" s="739"/>
      <c r="Z16" s="739"/>
      <c r="AA16" s="1160"/>
      <c r="AB16" s="1160"/>
      <c r="AC16" s="1160"/>
      <c r="AX16" s="739"/>
      <c r="AY16" s="110"/>
      <c r="AZ16" s="110"/>
    </row>
    <row r="17" spans="2:52" x14ac:dyDescent="0.2">
      <c r="B17" s="944"/>
      <c r="C17" s="739"/>
      <c r="D17" s="1060"/>
      <c r="E17" s="1176" t="s">
        <v>933</v>
      </c>
      <c r="F17" s="740"/>
      <c r="G17" s="740"/>
      <c r="H17" s="853"/>
      <c r="I17" s="853"/>
      <c r="J17" s="853"/>
      <c r="K17" s="853"/>
      <c r="L17" s="853"/>
      <c r="M17" s="853"/>
      <c r="N17" s="853"/>
      <c r="O17" s="1108">
        <f t="shared" ref="O17:S18" si="5">+O10+O13</f>
        <v>0</v>
      </c>
      <c r="P17" s="1108">
        <f t="shared" si="5"/>
        <v>0</v>
      </c>
      <c r="Q17" s="1108">
        <f t="shared" si="5"/>
        <v>0</v>
      </c>
      <c r="R17" s="1108">
        <f t="shared" si="5"/>
        <v>0</v>
      </c>
      <c r="S17" s="1108">
        <f t="shared" si="5"/>
        <v>0</v>
      </c>
      <c r="T17" s="739"/>
      <c r="U17" s="1218"/>
      <c r="V17" s="739"/>
      <c r="W17" s="739"/>
      <c r="X17" s="739"/>
      <c r="Y17" s="739"/>
      <c r="Z17" s="739"/>
      <c r="AA17" s="1160"/>
      <c r="AB17" s="1160"/>
      <c r="AC17" s="1160"/>
      <c r="AX17" s="739"/>
      <c r="AY17" s="110"/>
      <c r="AZ17" s="110"/>
    </row>
    <row r="18" spans="2:52" x14ac:dyDescent="0.2">
      <c r="B18" s="944"/>
      <c r="C18" s="739"/>
      <c r="D18" s="1060"/>
      <c r="E18" s="1176" t="s">
        <v>934</v>
      </c>
      <c r="F18" s="740"/>
      <c r="G18" s="740"/>
      <c r="H18" s="853"/>
      <c r="I18" s="1220"/>
      <c r="J18" s="853"/>
      <c r="K18" s="853"/>
      <c r="L18" s="853"/>
      <c r="M18" s="853"/>
      <c r="N18" s="853"/>
      <c r="O18" s="1108">
        <f t="shared" si="5"/>
        <v>0</v>
      </c>
      <c r="P18" s="1108">
        <f t="shared" si="5"/>
        <v>0</v>
      </c>
      <c r="Q18" s="1108">
        <f t="shared" si="5"/>
        <v>0</v>
      </c>
      <c r="R18" s="1108">
        <f t="shared" si="5"/>
        <v>0</v>
      </c>
      <c r="S18" s="1108">
        <f t="shared" si="5"/>
        <v>0</v>
      </c>
      <c r="T18" s="739"/>
      <c r="U18" s="1218"/>
      <c r="V18" s="739"/>
      <c r="W18" s="739"/>
      <c r="X18" s="739"/>
      <c r="Y18" s="739"/>
      <c r="Z18" s="739"/>
      <c r="AA18" s="1160"/>
      <c r="AB18" s="1160"/>
      <c r="AC18" s="1160"/>
      <c r="AX18" s="739"/>
      <c r="AY18" s="110"/>
      <c r="AZ18" s="110"/>
    </row>
    <row r="19" spans="2:52" x14ac:dyDescent="0.2">
      <c r="B19" s="944"/>
      <c r="C19" s="739"/>
      <c r="D19" s="1060"/>
      <c r="E19" s="1060" t="s">
        <v>760</v>
      </c>
      <c r="F19" s="740"/>
      <c r="G19" s="740"/>
      <c r="H19" s="853"/>
      <c r="I19" s="853"/>
      <c r="J19" s="853"/>
      <c r="K19" s="853"/>
      <c r="L19" s="853"/>
      <c r="M19" s="853"/>
      <c r="N19" s="853"/>
      <c r="O19" s="1251">
        <f>+O17-O18</f>
        <v>0</v>
      </c>
      <c r="P19" s="1251">
        <f t="shared" ref="P19:S19" si="6">+P17-P18</f>
        <v>0</v>
      </c>
      <c r="Q19" s="1251">
        <f t="shared" si="6"/>
        <v>0</v>
      </c>
      <c r="R19" s="1251">
        <f t="shared" si="6"/>
        <v>0</v>
      </c>
      <c r="S19" s="1251">
        <f t="shared" si="6"/>
        <v>0</v>
      </c>
      <c r="T19" s="739"/>
      <c r="U19" s="1218"/>
      <c r="V19" s="739"/>
      <c r="W19" s="739"/>
      <c r="X19" s="739"/>
      <c r="Y19" s="739"/>
      <c r="Z19" s="739"/>
      <c r="AA19" s="1160"/>
      <c r="AB19" s="1160"/>
      <c r="AC19" s="1160"/>
      <c r="AX19" s="739"/>
      <c r="AY19" s="110"/>
      <c r="AZ19" s="110"/>
    </row>
    <row r="20" spans="2:52" x14ac:dyDescent="0.2">
      <c r="B20" s="944"/>
      <c r="C20" s="739"/>
      <c r="D20" s="1060"/>
      <c r="E20" s="1060" t="s">
        <v>757</v>
      </c>
      <c r="F20" s="740"/>
      <c r="G20" s="740"/>
      <c r="H20" s="853"/>
      <c r="I20" s="853"/>
      <c r="J20" s="853"/>
      <c r="K20" s="853"/>
      <c r="L20" s="853"/>
      <c r="M20" s="853"/>
      <c r="N20" s="853"/>
      <c r="O20" s="1108">
        <f>+pers!I17</f>
        <v>0</v>
      </c>
      <c r="P20" s="1108">
        <f>+pers!J17</f>
        <v>0</v>
      </c>
      <c r="Q20" s="1108">
        <f>+pers!K17</f>
        <v>0</v>
      </c>
      <c r="R20" s="1108">
        <f>+pers!L17</f>
        <v>0</v>
      </c>
      <c r="S20" s="1108">
        <f>+pers!M17</f>
        <v>0</v>
      </c>
      <c r="T20" s="739"/>
      <c r="U20" s="1218"/>
      <c r="V20" s="739"/>
      <c r="W20" s="739"/>
      <c r="X20" s="739"/>
      <c r="Y20" s="739"/>
      <c r="Z20" s="739"/>
      <c r="AA20" s="1160"/>
      <c r="AB20" s="1160"/>
      <c r="AC20" s="1160"/>
      <c r="AX20" s="739"/>
      <c r="AY20" s="110"/>
      <c r="AZ20" s="110"/>
    </row>
    <row r="21" spans="2:52" x14ac:dyDescent="0.2">
      <c r="B21" s="944"/>
      <c r="C21" s="739"/>
      <c r="D21" s="1060"/>
      <c r="E21" s="1060" t="s">
        <v>758</v>
      </c>
      <c r="F21" s="740"/>
      <c r="G21" s="740"/>
      <c r="H21" s="853"/>
      <c r="I21" s="853"/>
      <c r="J21" s="853"/>
      <c r="K21" s="1219"/>
      <c r="L21" s="853"/>
      <c r="M21" s="853"/>
      <c r="N21" s="853"/>
      <c r="O21" s="1252">
        <f>IF((O20+O19)&lt;0,O20+O19,0)</f>
        <v>0</v>
      </c>
      <c r="P21" s="1252">
        <f t="shared" ref="P21:S21" si="7">IF((P20+P19)&lt;0,P20+P19,0)</f>
        <v>0</v>
      </c>
      <c r="Q21" s="1252">
        <f t="shared" si="7"/>
        <v>0</v>
      </c>
      <c r="R21" s="1252">
        <f t="shared" si="7"/>
        <v>0</v>
      </c>
      <c r="S21" s="1252">
        <f t="shared" si="7"/>
        <v>0</v>
      </c>
      <c r="T21" s="739"/>
      <c r="U21" s="1218"/>
      <c r="V21" s="739"/>
      <c r="W21" s="739"/>
      <c r="X21" s="739"/>
      <c r="Y21" s="739"/>
      <c r="Z21" s="739"/>
      <c r="AA21" s="1160"/>
      <c r="AB21" s="1160"/>
      <c r="AC21" s="1160"/>
      <c r="AX21" s="739"/>
      <c r="AY21" s="110"/>
      <c r="AZ21" s="110"/>
    </row>
    <row r="22" spans="2:52" x14ac:dyDescent="0.2">
      <c r="B22" s="944"/>
      <c r="C22" s="739"/>
      <c r="D22" s="1060"/>
      <c r="E22" s="1060" t="s">
        <v>759</v>
      </c>
      <c r="F22" s="740"/>
      <c r="G22" s="740"/>
      <c r="H22" s="853"/>
      <c r="I22" s="853"/>
      <c r="J22" s="853"/>
      <c r="K22" s="1219"/>
      <c r="L22" s="853"/>
      <c r="M22" s="853"/>
      <c r="N22" s="853"/>
      <c r="O22" s="1253" t="e">
        <f>-O21/'geg ZO'!K37</f>
        <v>#DIV/0!</v>
      </c>
      <c r="P22" s="1253" t="e">
        <f>-P21/'geg ZO'!L37</f>
        <v>#DIV/0!</v>
      </c>
      <c r="Q22" s="1253" t="e">
        <f>-Q21/'geg ZO'!M37</f>
        <v>#DIV/0!</v>
      </c>
      <c r="R22" s="1253" t="e">
        <f>-R21/'geg ZO'!N37</f>
        <v>#DIV/0!</v>
      </c>
      <c r="S22" s="1253" t="e">
        <f>-S21/'geg ZO'!O37</f>
        <v>#DIV/0!</v>
      </c>
      <c r="T22" s="739"/>
      <c r="U22" s="1218"/>
      <c r="V22" s="739"/>
      <c r="W22" s="739"/>
      <c r="X22" s="739"/>
      <c r="Y22" s="739"/>
      <c r="Z22" s="739"/>
      <c r="AA22" s="1160"/>
      <c r="AB22" s="1160"/>
      <c r="AC22" s="1160"/>
      <c r="AX22" s="739"/>
      <c r="AY22" s="110"/>
      <c r="AZ22" s="110"/>
    </row>
    <row r="23" spans="2:52" x14ac:dyDescent="0.2">
      <c r="B23" s="944"/>
      <c r="C23" s="739"/>
      <c r="D23" s="1060"/>
      <c r="E23" s="1060"/>
      <c r="F23" s="740"/>
      <c r="G23" s="740"/>
      <c r="H23" s="853"/>
      <c r="I23" s="853"/>
      <c r="J23" s="853"/>
      <c r="K23" s="853"/>
      <c r="L23" s="853"/>
      <c r="M23" s="853"/>
      <c r="N23" s="853"/>
      <c r="O23" s="1621"/>
      <c r="P23" s="1621"/>
      <c r="Q23" s="1621"/>
      <c r="R23" s="1621"/>
      <c r="S23" s="1621"/>
      <c r="T23" s="739"/>
      <c r="U23" s="1218"/>
      <c r="V23" s="739"/>
      <c r="W23" s="739"/>
      <c r="X23" s="739"/>
      <c r="Y23" s="739"/>
      <c r="Z23" s="739"/>
      <c r="AA23" s="1160"/>
      <c r="AB23" s="1160"/>
      <c r="AC23" s="1160"/>
      <c r="AX23" s="739"/>
      <c r="AY23" s="110"/>
      <c r="AZ23" s="110"/>
    </row>
    <row r="24" spans="2:52" x14ac:dyDescent="0.2">
      <c r="B24" s="944"/>
      <c r="C24" s="739"/>
      <c r="D24" s="1060"/>
      <c r="E24" s="927" t="s">
        <v>387</v>
      </c>
      <c r="F24" s="740"/>
      <c r="G24" s="740"/>
      <c r="H24" s="853"/>
      <c r="I24" s="853"/>
      <c r="J24" s="853"/>
      <c r="K24" s="853"/>
      <c r="L24" s="853"/>
      <c r="M24" s="853"/>
      <c r="N24" s="853"/>
      <c r="O24" s="739"/>
      <c r="P24" s="739"/>
      <c r="Q24" s="739"/>
      <c r="R24" s="739"/>
      <c r="S24" s="739"/>
      <c r="T24" s="739"/>
      <c r="U24" s="1109"/>
      <c r="V24" s="739"/>
      <c r="W24" s="739"/>
      <c r="X24" s="739"/>
      <c r="Y24" s="739"/>
      <c r="Z24" s="739"/>
      <c r="AA24" s="1160"/>
      <c r="AB24" s="1160"/>
      <c r="AC24" s="1160"/>
      <c r="AX24" s="739"/>
      <c r="AY24" s="110"/>
      <c r="AZ24" s="110"/>
    </row>
    <row r="25" spans="2:52" x14ac:dyDescent="0.2">
      <c r="B25" s="944"/>
      <c r="C25" s="739"/>
      <c r="D25" s="1060"/>
      <c r="E25" s="1176" t="s">
        <v>929</v>
      </c>
      <c r="F25" s="740"/>
      <c r="G25" s="740"/>
      <c r="H25" s="853"/>
      <c r="I25" s="853"/>
      <c r="J25" s="853"/>
      <c r="K25" s="853"/>
      <c r="L25" s="853"/>
      <c r="M25" s="853"/>
      <c r="N25" s="853"/>
      <c r="O25" s="1108">
        <f>mat!K16</f>
        <v>0</v>
      </c>
      <c r="P25" s="1108">
        <f>mat!L16</f>
        <v>0</v>
      </c>
      <c r="Q25" s="1108">
        <f>mat!M16</f>
        <v>0</v>
      </c>
      <c r="R25" s="1108">
        <f>mat!N16</f>
        <v>0</v>
      </c>
      <c r="S25" s="1108">
        <f>mat!O16</f>
        <v>0</v>
      </c>
      <c r="T25" s="739"/>
      <c r="U25" s="1109"/>
      <c r="V25" s="739"/>
      <c r="W25" s="739"/>
      <c r="X25" s="739"/>
      <c r="Y25" s="739"/>
      <c r="Z25" s="739"/>
      <c r="AA25" s="1160"/>
      <c r="AB25" s="1160"/>
      <c r="AC25" s="1160"/>
      <c r="AX25" s="739"/>
      <c r="AY25" s="110"/>
      <c r="AZ25" s="110"/>
    </row>
    <row r="26" spans="2:52" x14ac:dyDescent="0.2">
      <c r="B26" s="944"/>
      <c r="C26" s="739"/>
      <c r="D26" s="1060"/>
      <c r="E26" s="1176" t="s">
        <v>930</v>
      </c>
      <c r="F26" s="740"/>
      <c r="G26" s="740"/>
      <c r="H26" s="853"/>
      <c r="I26" s="853"/>
      <c r="J26" s="853"/>
      <c r="K26" s="853"/>
      <c r="L26" s="853"/>
      <c r="M26" s="853"/>
      <c r="N26" s="853"/>
      <c r="O26" s="1108">
        <f>V52</f>
        <v>0</v>
      </c>
      <c r="P26" s="1108">
        <f t="shared" ref="P26:S26" si="8">W52</f>
        <v>0</v>
      </c>
      <c r="Q26" s="1108">
        <f t="shared" si="8"/>
        <v>0</v>
      </c>
      <c r="R26" s="1108">
        <f t="shared" si="8"/>
        <v>0</v>
      </c>
      <c r="S26" s="1108">
        <f t="shared" si="8"/>
        <v>0</v>
      </c>
      <c r="T26" s="739"/>
      <c r="U26" s="1109"/>
      <c r="V26" s="739"/>
      <c r="W26" s="739"/>
      <c r="X26" s="739"/>
      <c r="Y26" s="739"/>
      <c r="Z26" s="739"/>
      <c r="AA26" s="1160"/>
      <c r="AB26" s="1160"/>
      <c r="AC26" s="1160"/>
      <c r="AX26" s="739"/>
      <c r="AY26" s="110"/>
      <c r="AZ26" s="110"/>
    </row>
    <row r="27" spans="2:52" x14ac:dyDescent="0.2">
      <c r="B27" s="944"/>
      <c r="C27" s="739"/>
      <c r="D27" s="1060"/>
      <c r="E27" s="1176"/>
      <c r="F27" s="740"/>
      <c r="G27" s="740"/>
      <c r="H27" s="853"/>
      <c r="I27" s="853"/>
      <c r="J27" s="853"/>
      <c r="K27" s="853"/>
      <c r="L27" s="1686" t="s">
        <v>1014</v>
      </c>
      <c r="M27" s="853"/>
      <c r="N27" s="853"/>
      <c r="O27" s="1110">
        <f>O25-O26</f>
        <v>0</v>
      </c>
      <c r="P27" s="1110">
        <f t="shared" ref="P27:S27" si="9">P25-P26</f>
        <v>0</v>
      </c>
      <c r="Q27" s="1110">
        <f t="shared" si="9"/>
        <v>0</v>
      </c>
      <c r="R27" s="1110">
        <f t="shared" si="9"/>
        <v>0</v>
      </c>
      <c r="S27" s="1110">
        <f t="shared" si="9"/>
        <v>0</v>
      </c>
      <c r="T27" s="739"/>
      <c r="U27" s="1109"/>
      <c r="V27" s="739"/>
      <c r="W27" s="739"/>
      <c r="X27" s="739"/>
      <c r="Y27" s="739"/>
      <c r="Z27" s="739"/>
      <c r="AA27" s="1160"/>
      <c r="AB27" s="1160"/>
      <c r="AC27" s="1160"/>
      <c r="AX27" s="739"/>
      <c r="AY27" s="110"/>
      <c r="AZ27" s="110"/>
    </row>
    <row r="28" spans="2:52" x14ac:dyDescent="0.2">
      <c r="B28" s="944"/>
      <c r="C28" s="739"/>
      <c r="D28" s="1060"/>
      <c r="E28" s="1176" t="s">
        <v>931</v>
      </c>
      <c r="F28" s="740"/>
      <c r="G28" s="740"/>
      <c r="H28" s="853"/>
      <c r="I28" s="853"/>
      <c r="J28" s="853"/>
      <c r="K28" s="853"/>
      <c r="L28" s="1175"/>
      <c r="M28" s="853"/>
      <c r="N28" s="853"/>
      <c r="O28" s="1108">
        <f>mat!K17</f>
        <v>0</v>
      </c>
      <c r="P28" s="1108">
        <f>mat!L17</f>
        <v>0</v>
      </c>
      <c r="Q28" s="1108">
        <f>mat!M17</f>
        <v>0</v>
      </c>
      <c r="R28" s="1108">
        <f>mat!N17</f>
        <v>0</v>
      </c>
      <c r="S28" s="1108">
        <f>mat!O17</f>
        <v>0</v>
      </c>
      <c r="T28" s="739"/>
      <c r="U28" s="1109"/>
      <c r="V28" s="739"/>
      <c r="W28" s="739"/>
      <c r="X28" s="739"/>
      <c r="Y28" s="739"/>
      <c r="Z28" s="739"/>
      <c r="AA28" s="1160"/>
      <c r="AB28" s="1160"/>
      <c r="AC28" s="1160"/>
      <c r="AX28" s="739"/>
      <c r="AY28" s="110"/>
      <c r="AZ28" s="110"/>
    </row>
    <row r="29" spans="2:52" x14ac:dyDescent="0.2">
      <c r="B29" s="944"/>
      <c r="C29" s="739"/>
      <c r="D29" s="1060"/>
      <c r="E29" s="1176" t="s">
        <v>932</v>
      </c>
      <c r="F29" s="740"/>
      <c r="G29" s="740"/>
      <c r="H29" s="853"/>
      <c r="I29" s="853"/>
      <c r="J29" s="853"/>
      <c r="K29" s="853"/>
      <c r="L29" s="1175"/>
      <c r="M29" s="853"/>
      <c r="N29" s="853"/>
      <c r="O29" s="1108">
        <f>V53</f>
        <v>0</v>
      </c>
      <c r="P29" s="1108">
        <f t="shared" ref="P29:S29" si="10">W53</f>
        <v>0</v>
      </c>
      <c r="Q29" s="1108">
        <f t="shared" si="10"/>
        <v>0</v>
      </c>
      <c r="R29" s="1108">
        <f t="shared" si="10"/>
        <v>0</v>
      </c>
      <c r="S29" s="1108">
        <f t="shared" si="10"/>
        <v>0</v>
      </c>
      <c r="T29" s="739"/>
      <c r="U29" s="1109"/>
      <c r="V29" s="739"/>
      <c r="W29" s="739"/>
      <c r="X29" s="739"/>
      <c r="Y29" s="739"/>
      <c r="Z29" s="739"/>
      <c r="AA29" s="1160"/>
      <c r="AB29" s="1160"/>
      <c r="AC29" s="1160"/>
      <c r="AX29" s="739"/>
      <c r="AY29" s="110"/>
      <c r="AZ29" s="110"/>
    </row>
    <row r="30" spans="2:52" x14ac:dyDescent="0.2">
      <c r="B30" s="944"/>
      <c r="C30" s="739"/>
      <c r="D30" s="1060"/>
      <c r="E30" s="1176"/>
      <c r="F30" s="740"/>
      <c r="G30" s="740"/>
      <c r="H30" s="853"/>
      <c r="I30" s="853"/>
      <c r="J30" s="853"/>
      <c r="K30" s="853"/>
      <c r="L30" s="1686" t="s">
        <v>1015</v>
      </c>
      <c r="M30" s="853"/>
      <c r="N30" s="853"/>
      <c r="O30" s="1110">
        <f>O28-O29</f>
        <v>0</v>
      </c>
      <c r="P30" s="1110">
        <f t="shared" ref="P30:S30" si="11">P28-P29</f>
        <v>0</v>
      </c>
      <c r="Q30" s="1110">
        <f t="shared" si="11"/>
        <v>0</v>
      </c>
      <c r="R30" s="1110">
        <f t="shared" si="11"/>
        <v>0</v>
      </c>
      <c r="S30" s="1110">
        <f t="shared" si="11"/>
        <v>0</v>
      </c>
      <c r="T30" s="739"/>
      <c r="U30" s="1109"/>
      <c r="V30" s="739"/>
      <c r="W30" s="739"/>
      <c r="X30" s="739"/>
      <c r="Y30" s="739"/>
      <c r="Z30" s="739"/>
      <c r="AA30" s="1160"/>
      <c r="AB30" s="1160"/>
      <c r="AC30" s="1160"/>
      <c r="AX30" s="739"/>
      <c r="AY30" s="110"/>
      <c r="AZ30" s="110"/>
    </row>
    <row r="31" spans="2:52" x14ac:dyDescent="0.2">
      <c r="B31" s="944"/>
      <c r="C31" s="739"/>
      <c r="D31" s="1060"/>
      <c r="E31" s="1176"/>
      <c r="F31" s="740"/>
      <c r="G31" s="740"/>
      <c r="H31" s="853"/>
      <c r="I31" s="853"/>
      <c r="J31" s="853"/>
      <c r="K31" s="853"/>
      <c r="L31" s="853"/>
      <c r="M31" s="853"/>
      <c r="N31" s="853"/>
      <c r="O31" s="1590"/>
      <c r="P31" s="1590"/>
      <c r="Q31" s="1590"/>
      <c r="R31" s="1590"/>
      <c r="S31" s="1590"/>
      <c r="T31" s="739"/>
      <c r="U31" s="1109"/>
      <c r="V31" s="739"/>
      <c r="W31" s="739"/>
      <c r="X31" s="739"/>
      <c r="Y31" s="739"/>
      <c r="Z31" s="739"/>
      <c r="AA31" s="1160"/>
      <c r="AB31" s="1160"/>
      <c r="AC31" s="1160"/>
      <c r="AX31" s="739"/>
      <c r="AY31" s="110"/>
      <c r="AZ31" s="110"/>
    </row>
    <row r="32" spans="2:52" x14ac:dyDescent="0.2">
      <c r="B32" s="944"/>
      <c r="C32" s="739"/>
      <c r="D32" s="1060"/>
      <c r="E32" s="1176" t="s">
        <v>939</v>
      </c>
      <c r="F32" s="740"/>
      <c r="G32" s="740"/>
      <c r="H32" s="853"/>
      <c r="I32" s="853"/>
      <c r="J32" s="853"/>
      <c r="K32" s="853"/>
      <c r="L32" s="853"/>
      <c r="M32" s="853"/>
      <c r="N32" s="853"/>
      <c r="O32" s="1108">
        <f>O25+O28</f>
        <v>0</v>
      </c>
      <c r="P32" s="1108">
        <f t="shared" ref="P32:S32" si="12">P25+P28</f>
        <v>0</v>
      </c>
      <c r="Q32" s="1108">
        <f t="shared" si="12"/>
        <v>0</v>
      </c>
      <c r="R32" s="1108">
        <f t="shared" si="12"/>
        <v>0</v>
      </c>
      <c r="S32" s="1108">
        <f t="shared" si="12"/>
        <v>0</v>
      </c>
      <c r="T32" s="739"/>
      <c r="U32" s="1109"/>
      <c r="V32" s="739"/>
      <c r="W32" s="739"/>
      <c r="X32" s="739"/>
      <c r="Y32" s="739"/>
      <c r="Z32" s="739"/>
      <c r="AA32" s="1160"/>
      <c r="AB32" s="1160"/>
      <c r="AC32" s="1160"/>
      <c r="AX32" s="739"/>
      <c r="AY32" s="110"/>
      <c r="AZ32" s="110"/>
    </row>
    <row r="33" spans="2:52" x14ac:dyDescent="0.2">
      <c r="B33" s="944"/>
      <c r="C33" s="739"/>
      <c r="D33" s="1060"/>
      <c r="E33" s="1176" t="s">
        <v>940</v>
      </c>
      <c r="F33" s="740"/>
      <c r="G33" s="740"/>
      <c r="H33" s="853"/>
      <c r="I33" s="853"/>
      <c r="J33" s="853"/>
      <c r="K33" s="853"/>
      <c r="L33" s="853"/>
      <c r="M33" s="853"/>
      <c r="N33" s="853"/>
      <c r="O33" s="1108">
        <f>O26+O29</f>
        <v>0</v>
      </c>
      <c r="P33" s="1108">
        <f t="shared" ref="P33:S33" si="13">P26+P29</f>
        <v>0</v>
      </c>
      <c r="Q33" s="1108">
        <f t="shared" si="13"/>
        <v>0</v>
      </c>
      <c r="R33" s="1108">
        <f t="shared" si="13"/>
        <v>0</v>
      </c>
      <c r="S33" s="1108">
        <f t="shared" si="13"/>
        <v>0</v>
      </c>
      <c r="T33" s="739"/>
      <c r="U33" s="1109"/>
      <c r="V33" s="739"/>
      <c r="W33" s="739"/>
      <c r="X33" s="739"/>
      <c r="Y33" s="739"/>
      <c r="Z33" s="739"/>
      <c r="AA33" s="1160"/>
      <c r="AB33" s="1160"/>
      <c r="AC33" s="1160"/>
      <c r="AX33" s="739"/>
      <c r="AY33" s="110"/>
      <c r="AZ33" s="110"/>
    </row>
    <row r="34" spans="2:52" x14ac:dyDescent="0.2">
      <c r="B34" s="944"/>
      <c r="C34" s="739"/>
      <c r="D34" s="1060"/>
      <c r="E34" s="1060" t="s">
        <v>760</v>
      </c>
      <c r="F34" s="740"/>
      <c r="G34" s="740"/>
      <c r="H34" s="853"/>
      <c r="I34" s="853"/>
      <c r="J34" s="853"/>
      <c r="K34" s="853"/>
      <c r="L34" s="853"/>
      <c r="M34" s="853"/>
      <c r="N34" s="853"/>
      <c r="O34" s="1252">
        <f>O32-O33</f>
        <v>0</v>
      </c>
      <c r="P34" s="1252">
        <f t="shared" ref="P34:S34" si="14">P32-P33</f>
        <v>0</v>
      </c>
      <c r="Q34" s="1252">
        <f t="shared" si="14"/>
        <v>0</v>
      </c>
      <c r="R34" s="1252">
        <f t="shared" si="14"/>
        <v>0</v>
      </c>
      <c r="S34" s="1252">
        <f t="shared" si="14"/>
        <v>0</v>
      </c>
      <c r="T34" s="739"/>
      <c r="U34" s="1109"/>
      <c r="V34" s="739"/>
      <c r="W34" s="739"/>
      <c r="X34" s="739"/>
      <c r="Y34" s="739"/>
      <c r="Z34" s="739"/>
      <c r="AA34" s="1160"/>
      <c r="AB34" s="1160"/>
      <c r="AC34" s="1160"/>
      <c r="AX34" s="739"/>
      <c r="AY34" s="110"/>
      <c r="AZ34" s="110"/>
    </row>
    <row r="35" spans="2:52" x14ac:dyDescent="0.2">
      <c r="B35" s="944"/>
      <c r="C35" s="739"/>
      <c r="D35" s="1060"/>
      <c r="E35" s="1060" t="s">
        <v>757</v>
      </c>
      <c r="F35" s="740"/>
      <c r="G35" s="740"/>
      <c r="H35" s="853"/>
      <c r="I35" s="853"/>
      <c r="J35" s="853"/>
      <c r="K35" s="853"/>
      <c r="L35" s="853"/>
      <c r="M35" s="853"/>
      <c r="N35" s="853"/>
      <c r="O35" s="1108">
        <f>mat!K15</f>
        <v>0</v>
      </c>
      <c r="P35" s="1108">
        <f>mat!L15</f>
        <v>0</v>
      </c>
      <c r="Q35" s="1108">
        <f>mat!M15</f>
        <v>0</v>
      </c>
      <c r="R35" s="1108">
        <f>mat!N15</f>
        <v>0</v>
      </c>
      <c r="S35" s="1108">
        <f>mat!O15</f>
        <v>0</v>
      </c>
      <c r="T35" s="739"/>
      <c r="U35" s="1109"/>
      <c r="V35" s="739"/>
      <c r="W35" s="739"/>
      <c r="X35" s="739"/>
      <c r="Y35" s="739"/>
      <c r="Z35" s="739"/>
      <c r="AA35" s="1160"/>
      <c r="AB35" s="1160"/>
      <c r="AC35" s="1160"/>
      <c r="AX35" s="739"/>
      <c r="AY35" s="110"/>
      <c r="AZ35" s="110"/>
    </row>
    <row r="36" spans="2:52" x14ac:dyDescent="0.2">
      <c r="B36" s="944"/>
      <c r="C36" s="739"/>
      <c r="D36" s="1060"/>
      <c r="E36" s="1060" t="s">
        <v>758</v>
      </c>
      <c r="F36" s="740"/>
      <c r="G36" s="740"/>
      <c r="H36" s="853"/>
      <c r="I36" s="853"/>
      <c r="J36" s="853"/>
      <c r="K36" s="853"/>
      <c r="L36" s="853"/>
      <c r="M36" s="853"/>
      <c r="N36" s="853"/>
      <c r="O36" s="1252">
        <f>IF((O34+O35)&lt;0,O34,0)</f>
        <v>0</v>
      </c>
      <c r="P36" s="1252">
        <f t="shared" ref="P36:S36" si="15">IF((P34+P35)&lt;0,P34,0)</f>
        <v>0</v>
      </c>
      <c r="Q36" s="1252">
        <f t="shared" si="15"/>
        <v>0</v>
      </c>
      <c r="R36" s="1252">
        <f t="shared" si="15"/>
        <v>0</v>
      </c>
      <c r="S36" s="1252">
        <f t="shared" si="15"/>
        <v>0</v>
      </c>
      <c r="T36" s="739"/>
      <c r="U36" s="1109"/>
      <c r="V36" s="739"/>
      <c r="W36" s="739"/>
      <c r="X36" s="739"/>
      <c r="Y36" s="739"/>
      <c r="Z36" s="739"/>
      <c r="AA36" s="1160"/>
      <c r="AB36" s="1160"/>
      <c r="AC36" s="1160"/>
      <c r="AX36" s="739"/>
      <c r="AY36" s="110"/>
      <c r="AZ36" s="110"/>
    </row>
    <row r="37" spans="2:52" x14ac:dyDescent="0.2">
      <c r="B37" s="944"/>
      <c r="C37" s="739"/>
      <c r="D37" s="1060"/>
      <c r="E37" s="1060" t="s">
        <v>759</v>
      </c>
      <c r="F37" s="740"/>
      <c r="G37" s="740"/>
      <c r="H37" s="853"/>
      <c r="I37" s="853"/>
      <c r="J37" s="853"/>
      <c r="K37" s="853"/>
      <c r="L37" s="853"/>
      <c r="M37" s="853"/>
      <c r="N37" s="853"/>
      <c r="O37" s="1253" t="e">
        <f>-O36/'geg ZO'!K37</f>
        <v>#DIV/0!</v>
      </c>
      <c r="P37" s="1253" t="e">
        <f>-P36/'geg ZO'!L37</f>
        <v>#DIV/0!</v>
      </c>
      <c r="Q37" s="1253" t="e">
        <f>-Q36/'geg ZO'!M37</f>
        <v>#DIV/0!</v>
      </c>
      <c r="R37" s="1253" t="e">
        <f>-R36/'geg ZO'!N37</f>
        <v>#DIV/0!</v>
      </c>
      <c r="S37" s="1253" t="e">
        <f>-S36/'geg ZO'!O37</f>
        <v>#DIV/0!</v>
      </c>
      <c r="T37" s="739"/>
      <c r="U37" s="1109"/>
      <c r="V37" s="739"/>
      <c r="W37" s="739"/>
      <c r="X37" s="739"/>
      <c r="Y37" s="739"/>
      <c r="Z37" s="739"/>
      <c r="AA37" s="1160"/>
      <c r="AB37" s="1160"/>
      <c r="AC37" s="1160"/>
      <c r="AX37" s="739"/>
      <c r="AY37" s="110"/>
      <c r="AZ37" s="110"/>
    </row>
    <row r="38" spans="2:52" x14ac:dyDescent="0.2">
      <c r="B38" s="944"/>
      <c r="C38" s="739"/>
      <c r="D38" s="1060"/>
      <c r="E38" s="1060"/>
      <c r="F38" s="740"/>
      <c r="G38" s="740"/>
      <c r="H38" s="853"/>
      <c r="I38" s="853"/>
      <c r="J38" s="853"/>
      <c r="K38" s="853"/>
      <c r="L38" s="853"/>
      <c r="M38" s="853"/>
      <c r="N38" s="853"/>
      <c r="O38" s="739"/>
      <c r="P38" s="739"/>
      <c r="Q38" s="739"/>
      <c r="R38" s="739"/>
      <c r="S38" s="739"/>
      <c r="T38" s="739"/>
      <c r="U38" s="1109"/>
      <c r="V38" s="739"/>
      <c r="W38" s="739"/>
      <c r="X38" s="739"/>
      <c r="Y38" s="739"/>
      <c r="Z38" s="739"/>
      <c r="AA38" s="1160"/>
      <c r="AB38" s="1160"/>
      <c r="AC38" s="1160"/>
      <c r="AX38" s="739"/>
      <c r="AY38" s="110"/>
      <c r="AZ38" s="110"/>
    </row>
    <row r="39" spans="2:52" x14ac:dyDescent="0.2">
      <c r="B39" s="944"/>
      <c r="C39" s="739"/>
      <c r="D39" s="1060"/>
      <c r="E39" s="1060"/>
      <c r="F39" s="740"/>
      <c r="G39" s="740"/>
      <c r="H39" s="853"/>
      <c r="I39" s="853"/>
      <c r="J39" s="853"/>
      <c r="K39" s="853"/>
      <c r="L39" s="1687" t="s">
        <v>1016</v>
      </c>
      <c r="M39" s="853"/>
      <c r="N39" s="853"/>
      <c r="O39" s="1688">
        <f>O19+O20+O34+O35</f>
        <v>0</v>
      </c>
      <c r="P39" s="1688">
        <f t="shared" ref="P39:S39" si="16">P19+P20-P21+P34+P35-P36</f>
        <v>0</v>
      </c>
      <c r="Q39" s="1688">
        <f t="shared" si="16"/>
        <v>0</v>
      </c>
      <c r="R39" s="1688">
        <f t="shared" si="16"/>
        <v>0</v>
      </c>
      <c r="S39" s="1688">
        <f t="shared" si="16"/>
        <v>0</v>
      </c>
      <c r="T39" s="739"/>
      <c r="U39" s="1109"/>
      <c r="V39" s="739"/>
      <c r="W39" s="739"/>
      <c r="X39" s="739"/>
      <c r="Y39" s="739"/>
      <c r="Z39" s="739"/>
      <c r="AA39" s="1160"/>
      <c r="AB39" s="1160"/>
      <c r="AC39" s="1160"/>
      <c r="AX39" s="739"/>
      <c r="AY39" s="110"/>
      <c r="AZ39" s="110"/>
    </row>
    <row r="40" spans="2:52" x14ac:dyDescent="0.2">
      <c r="B40" s="944"/>
      <c r="C40" s="739"/>
      <c r="D40" s="1060"/>
      <c r="E40" s="1060"/>
      <c r="F40" s="740"/>
      <c r="G40" s="740"/>
      <c r="H40" s="853"/>
      <c r="I40" s="853"/>
      <c r="J40" s="853"/>
      <c r="K40" s="853"/>
      <c r="L40" s="853"/>
      <c r="M40" s="853"/>
      <c r="N40" s="853"/>
      <c r="O40" s="739"/>
      <c r="P40" s="739"/>
      <c r="Q40" s="739"/>
      <c r="R40" s="739"/>
      <c r="S40" s="739"/>
      <c r="T40" s="739"/>
      <c r="U40" s="1109"/>
      <c r="V40" s="739"/>
      <c r="W40" s="739"/>
      <c r="X40" s="739"/>
      <c r="Y40" s="739"/>
      <c r="Z40" s="739"/>
      <c r="AA40" s="1160"/>
      <c r="AB40" s="1160"/>
      <c r="AC40" s="1160"/>
      <c r="AX40" s="739"/>
      <c r="AY40" s="110"/>
      <c r="AZ40" s="110"/>
    </row>
    <row r="41" spans="2:52" x14ac:dyDescent="0.2">
      <c r="B41" s="944"/>
      <c r="C41" s="739"/>
      <c r="D41" s="1060"/>
      <c r="E41" s="927" t="s">
        <v>941</v>
      </c>
      <c r="F41" s="740"/>
      <c r="G41" s="740"/>
      <c r="H41" s="853"/>
      <c r="I41" s="853"/>
      <c r="J41" s="853"/>
      <c r="K41" s="853"/>
      <c r="L41" s="853"/>
      <c r="M41" s="853"/>
      <c r="N41" s="853"/>
      <c r="O41" s="1622" t="e">
        <f>O22+O37</f>
        <v>#DIV/0!</v>
      </c>
      <c r="P41" s="1622" t="e">
        <f>P22+P37</f>
        <v>#DIV/0!</v>
      </c>
      <c r="Q41" s="1622" t="e">
        <f>Q22+Q37</f>
        <v>#DIV/0!</v>
      </c>
      <c r="R41" s="1622" t="e">
        <f>R22+R37</f>
        <v>#DIV/0!</v>
      </c>
      <c r="S41" s="1622" t="e">
        <f>S22+S37</f>
        <v>#DIV/0!</v>
      </c>
      <c r="T41" s="739"/>
      <c r="U41" s="1109"/>
      <c r="V41" s="739"/>
      <c r="W41" s="739"/>
      <c r="X41" s="739"/>
      <c r="Y41" s="739"/>
      <c r="Z41" s="739"/>
      <c r="AA41" s="1160"/>
      <c r="AB41" s="1160"/>
      <c r="AC41" s="1160"/>
      <c r="AX41" s="739"/>
      <c r="AY41" s="110"/>
      <c r="AZ41" s="110"/>
    </row>
    <row r="42" spans="2:52" x14ac:dyDescent="0.2">
      <c r="B42" s="944"/>
      <c r="C42" s="739"/>
      <c r="D42" s="1060"/>
      <c r="E42" s="1594" t="s">
        <v>942</v>
      </c>
      <c r="F42" s="740"/>
      <c r="G42" s="740"/>
      <c r="H42" s="853"/>
      <c r="I42" s="853"/>
      <c r="J42" s="853"/>
      <c r="K42" s="853"/>
      <c r="L42" s="853"/>
      <c r="M42" s="853"/>
      <c r="N42" s="853"/>
      <c r="O42" s="739"/>
      <c r="P42" s="739"/>
      <c r="Q42" s="739"/>
      <c r="R42" s="739"/>
      <c r="S42" s="739"/>
      <c r="T42" s="739"/>
      <c r="U42" s="1109"/>
      <c r="V42" s="739"/>
      <c r="W42" s="739"/>
      <c r="X42" s="739"/>
      <c r="Y42" s="739"/>
      <c r="Z42" s="739"/>
      <c r="AA42" s="1160"/>
      <c r="AB42" s="1160"/>
      <c r="AC42" s="1160"/>
      <c r="AX42" s="739"/>
      <c r="AY42" s="110"/>
      <c r="AZ42" s="110"/>
    </row>
    <row r="43" spans="2:52" x14ac:dyDescent="0.2">
      <c r="B43" s="944"/>
      <c r="C43" s="739"/>
      <c r="D43" s="1060"/>
      <c r="E43" s="1060"/>
      <c r="F43" s="740"/>
      <c r="G43" s="740"/>
      <c r="H43" s="853"/>
      <c r="I43" s="853"/>
      <c r="J43" s="853"/>
      <c r="K43" s="853"/>
      <c r="L43" s="853"/>
      <c r="M43" s="853"/>
      <c r="N43" s="853"/>
      <c r="O43" s="739"/>
      <c r="P43" s="739"/>
      <c r="Q43" s="739"/>
      <c r="R43" s="739"/>
      <c r="S43" s="739"/>
      <c r="T43" s="739"/>
      <c r="U43" s="1109"/>
      <c r="V43" s="739"/>
      <c r="W43" s="739"/>
      <c r="X43" s="739"/>
      <c r="Y43" s="739"/>
      <c r="Z43" s="739"/>
      <c r="AA43" s="1160"/>
      <c r="AB43" s="1160"/>
      <c r="AC43" s="1160"/>
      <c r="AX43" s="739"/>
      <c r="AY43" s="110"/>
      <c r="AZ43" s="110"/>
    </row>
    <row r="44" spans="2:52" x14ac:dyDescent="0.2">
      <c r="B44" s="1103"/>
      <c r="C44" s="1098"/>
      <c r="D44" s="1104"/>
      <c r="E44" s="1104"/>
      <c r="F44" s="1105"/>
      <c r="G44" s="1105"/>
      <c r="H44" s="1106"/>
      <c r="I44" s="1106"/>
      <c r="J44" s="1106"/>
      <c r="K44" s="1106"/>
      <c r="L44" s="1106"/>
      <c r="M44" s="1106"/>
      <c r="N44" s="1106"/>
      <c r="O44" s="1098"/>
      <c r="P44" s="1098"/>
      <c r="Q44" s="1098"/>
      <c r="R44" s="1098"/>
      <c r="S44" s="1098"/>
      <c r="T44" s="1098"/>
      <c r="U44" s="1107"/>
      <c r="V44" s="853"/>
      <c r="W44" s="739"/>
      <c r="X44" s="739"/>
      <c r="Y44" s="739"/>
      <c r="Z44" s="739"/>
      <c r="AA44" s="739"/>
      <c r="AB44" s="1160"/>
      <c r="AC44" s="1160"/>
      <c r="AY44" s="739"/>
      <c r="AZ44" s="110"/>
    </row>
    <row r="46" spans="2:52" x14ac:dyDescent="0.2">
      <c r="B46" s="72"/>
      <c r="C46" s="73"/>
      <c r="D46" s="127"/>
      <c r="E46" s="127"/>
      <c r="F46" s="128"/>
      <c r="G46" s="128"/>
      <c r="H46" s="74"/>
      <c r="I46" s="74"/>
      <c r="J46" s="74"/>
      <c r="K46" s="74"/>
      <c r="L46" s="74"/>
      <c r="M46" s="74"/>
      <c r="N46" s="74"/>
      <c r="O46" s="73"/>
      <c r="P46" s="73"/>
      <c r="Q46" s="73"/>
      <c r="R46" s="73"/>
      <c r="S46" s="73"/>
      <c r="T46" s="74"/>
      <c r="U46" s="1608"/>
      <c r="V46" s="1599"/>
      <c r="W46" s="1599"/>
      <c r="X46" s="1599"/>
      <c r="Y46" s="1599"/>
      <c r="Z46" s="1599"/>
      <c r="AA46" s="1599"/>
      <c r="AB46" s="1600"/>
      <c r="AC46" s="1160"/>
      <c r="AP46" s="110"/>
      <c r="AQ46" s="110"/>
      <c r="AR46" s="110"/>
      <c r="AS46" s="110"/>
      <c r="AT46" s="110"/>
      <c r="AU46" s="110"/>
      <c r="AV46" s="110"/>
      <c r="AW46" s="110"/>
      <c r="AX46" s="110"/>
      <c r="AY46" s="110"/>
      <c r="AZ46" s="110"/>
    </row>
    <row r="47" spans="2:52" s="10" customFormat="1" ht="18.75" x14ac:dyDescent="0.3">
      <c r="B47" s="1069"/>
      <c r="C47" s="55" t="s">
        <v>938</v>
      </c>
      <c r="D47" s="88"/>
      <c r="E47" s="58"/>
      <c r="F47" s="123"/>
      <c r="G47" s="123"/>
      <c r="H47" s="87"/>
      <c r="I47" s="87"/>
      <c r="J47" s="87"/>
      <c r="K47" s="87"/>
      <c r="L47" s="87"/>
      <c r="M47" s="87"/>
      <c r="N47" s="87"/>
      <c r="O47" s="58"/>
      <c r="P47" s="58"/>
      <c r="Q47" s="58"/>
      <c r="R47" s="58"/>
      <c r="S47" s="58"/>
      <c r="T47" s="87"/>
      <c r="U47" s="1069"/>
      <c r="V47" s="1598"/>
      <c r="W47" s="1598"/>
      <c r="X47" s="1598"/>
      <c r="Y47" s="1598"/>
      <c r="Z47" s="1598"/>
      <c r="AA47" s="1598"/>
      <c r="AB47" s="1601"/>
      <c r="AC47" s="1160"/>
      <c r="AD47" s="1160"/>
      <c r="AE47" s="1160"/>
      <c r="AF47" s="1160"/>
      <c r="AG47" s="1160"/>
      <c r="AH47" s="1160"/>
      <c r="AI47" s="1160"/>
      <c r="AJ47" s="1160"/>
      <c r="AK47" s="1160"/>
      <c r="AL47" s="1160"/>
      <c r="AM47" s="1160"/>
      <c r="AN47" s="1160"/>
      <c r="AO47" s="1160"/>
    </row>
    <row r="48" spans="2:52" ht="18.75" x14ac:dyDescent="0.3">
      <c r="B48" s="989"/>
      <c r="C48" s="942" t="s">
        <v>720</v>
      </c>
      <c r="D48" s="121"/>
      <c r="E48" s="137"/>
      <c r="F48" s="138"/>
      <c r="G48" s="138"/>
      <c r="H48" s="139"/>
      <c r="I48" s="139"/>
      <c r="J48" s="139"/>
      <c r="K48" s="139"/>
      <c r="L48" s="139"/>
      <c r="M48" s="139"/>
      <c r="N48" s="139"/>
      <c r="O48" s="988" t="s">
        <v>659</v>
      </c>
      <c r="P48" s="140"/>
      <c r="Q48" s="140"/>
      <c r="R48" s="140"/>
      <c r="S48" s="140"/>
      <c r="T48" s="139"/>
      <c r="U48" s="1612"/>
      <c r="V48" s="988" t="s">
        <v>937</v>
      </c>
      <c r="W48" s="140"/>
      <c r="X48" s="140"/>
      <c r="Y48" s="140"/>
      <c r="Z48" s="140"/>
      <c r="AA48" s="139"/>
      <c r="AB48" s="1114"/>
      <c r="AC48" s="1160"/>
      <c r="AP48" s="110"/>
      <c r="AQ48" s="110"/>
      <c r="AR48" s="110"/>
      <c r="AS48" s="110"/>
      <c r="AT48" s="110"/>
      <c r="AU48" s="110"/>
      <c r="AV48" s="110"/>
      <c r="AW48" s="110"/>
      <c r="AX48" s="110"/>
      <c r="AY48" s="110"/>
      <c r="AZ48" s="110"/>
    </row>
    <row r="49" spans="2:41" s="11" customFormat="1" x14ac:dyDescent="0.2">
      <c r="B49" s="1071"/>
      <c r="C49" s="56"/>
      <c r="D49" s="64"/>
      <c r="E49" s="141"/>
      <c r="F49" s="142"/>
      <c r="G49" s="142"/>
      <c r="H49" s="95" t="s">
        <v>620</v>
      </c>
      <c r="I49" s="143"/>
      <c r="J49" s="143"/>
      <c r="K49" s="143"/>
      <c r="L49" s="143"/>
      <c r="M49" s="143"/>
      <c r="N49" s="143"/>
      <c r="O49" s="109"/>
      <c r="P49" s="109"/>
      <c r="Q49" s="109"/>
      <c r="R49" s="109"/>
      <c r="S49" s="109"/>
      <c r="T49" s="143"/>
      <c r="U49" s="1613"/>
      <c r="V49" s="109"/>
      <c r="W49" s="109"/>
      <c r="X49" s="109"/>
      <c r="Y49" s="109"/>
      <c r="Z49" s="109"/>
      <c r="AA49" s="143"/>
      <c r="AB49" s="1115"/>
      <c r="AC49" s="1160"/>
      <c r="AD49" s="1160"/>
      <c r="AE49" s="1160"/>
      <c r="AF49" s="1160"/>
      <c r="AG49" s="1160"/>
      <c r="AH49" s="1160"/>
      <c r="AI49" s="1160"/>
      <c r="AJ49" s="1160"/>
      <c r="AK49" s="1160"/>
      <c r="AL49" s="1160"/>
      <c r="AM49" s="1160"/>
      <c r="AN49" s="1160"/>
      <c r="AO49" s="1160"/>
    </row>
    <row r="50" spans="2:41" s="12" customFormat="1" x14ac:dyDescent="0.2">
      <c r="B50" s="1072"/>
      <c r="C50" s="54"/>
      <c r="D50" s="53"/>
      <c r="E50" s="144"/>
      <c r="F50" s="138"/>
      <c r="G50" s="138"/>
      <c r="H50" s="1169">
        <f>tab!E4</f>
        <v>2015</v>
      </c>
      <c r="I50" s="1169">
        <f>tab!F4</f>
        <v>2016</v>
      </c>
      <c r="J50" s="1169">
        <f>tab!G4</f>
        <v>2017</v>
      </c>
      <c r="K50" s="1169">
        <f>tab!H4</f>
        <v>2018</v>
      </c>
      <c r="L50" s="1169">
        <f>tab!I4</f>
        <v>2019</v>
      </c>
      <c r="M50" s="1169">
        <f>tab!J4</f>
        <v>2020</v>
      </c>
      <c r="N50" s="144"/>
      <c r="O50" s="1169">
        <f>+tab!F4</f>
        <v>2016</v>
      </c>
      <c r="P50" s="1169">
        <f>+tab!G4</f>
        <v>2017</v>
      </c>
      <c r="Q50" s="1169">
        <f>+tab!H4</f>
        <v>2018</v>
      </c>
      <c r="R50" s="1169">
        <f>+tab!I4</f>
        <v>2019</v>
      </c>
      <c r="S50" s="1169">
        <f>+tab!J4</f>
        <v>2020</v>
      </c>
      <c r="T50" s="1112"/>
      <c r="U50" s="1614"/>
      <c r="V50" s="1169">
        <f>O50</f>
        <v>2016</v>
      </c>
      <c r="W50" s="1169">
        <f>P50</f>
        <v>2017</v>
      </c>
      <c r="X50" s="1169">
        <f>Q50</f>
        <v>2018</v>
      </c>
      <c r="Y50" s="1169">
        <f>R50</f>
        <v>2019</v>
      </c>
      <c r="Z50" s="1169">
        <f>S50</f>
        <v>2020</v>
      </c>
      <c r="AA50" s="144"/>
      <c r="AB50" s="1062"/>
      <c r="AC50" s="1160"/>
      <c r="AD50" s="1160"/>
      <c r="AE50" s="1160"/>
      <c r="AF50" s="1160"/>
      <c r="AG50" s="1160"/>
      <c r="AH50" s="1160"/>
      <c r="AI50" s="1160"/>
      <c r="AJ50" s="1160"/>
      <c r="AK50" s="1160"/>
      <c r="AL50" s="1160"/>
      <c r="AM50" s="1160"/>
      <c r="AN50" s="1160"/>
      <c r="AO50" s="1160"/>
    </row>
    <row r="51" spans="2:41" s="113" customFormat="1" x14ac:dyDescent="0.2">
      <c r="B51" s="1073"/>
      <c r="C51" s="70"/>
      <c r="D51" s="121"/>
      <c r="E51" s="145"/>
      <c r="F51" s="146"/>
      <c r="G51" s="146"/>
      <c r="H51" s="139"/>
      <c r="I51" s="139"/>
      <c r="J51" s="139"/>
      <c r="K51" s="139"/>
      <c r="L51" s="139"/>
      <c r="M51" s="139"/>
      <c r="N51" s="139"/>
      <c r="O51" s="139"/>
      <c r="P51" s="139"/>
      <c r="Q51" s="139"/>
      <c r="R51" s="139"/>
      <c r="S51" s="139"/>
      <c r="T51" s="139"/>
      <c r="U51" s="1615"/>
      <c r="V51" s="139"/>
      <c r="W51" s="139"/>
      <c r="X51" s="139"/>
      <c r="Y51" s="139"/>
      <c r="Z51" s="139"/>
      <c r="AA51" s="139"/>
      <c r="AB51" s="1097"/>
      <c r="AC51" s="1160"/>
      <c r="AD51" s="1160"/>
      <c r="AE51" s="1160"/>
      <c r="AF51" s="1160"/>
      <c r="AG51" s="1160"/>
      <c r="AH51" s="1160"/>
      <c r="AI51" s="1160"/>
      <c r="AJ51" s="1160"/>
      <c r="AK51" s="1160"/>
      <c r="AL51" s="1160"/>
      <c r="AM51" s="1160"/>
      <c r="AN51" s="1160"/>
      <c r="AO51" s="1160"/>
    </row>
    <row r="52" spans="2:41" s="113" customFormat="1" x14ac:dyDescent="0.2">
      <c r="B52" s="1073"/>
      <c r="C52" s="647"/>
      <c r="D52" s="648"/>
      <c r="E52" s="647" t="s">
        <v>611</v>
      </c>
      <c r="F52" s="650"/>
      <c r="G52" s="650"/>
      <c r="H52" s="1117">
        <f t="shared" ref="H52:M52" si="17">+H57+H59+H61+H63+H65+H67+H69+H71+H73+H75+H77+H79+H81+H83+H85+H87+H89+H91+H93+H95</f>
        <v>0</v>
      </c>
      <c r="I52" s="1117">
        <f t="shared" si="17"/>
        <v>0</v>
      </c>
      <c r="J52" s="1117">
        <f t="shared" si="17"/>
        <v>0</v>
      </c>
      <c r="K52" s="1117">
        <f t="shared" si="17"/>
        <v>0</v>
      </c>
      <c r="L52" s="1117">
        <f t="shared" si="17"/>
        <v>0</v>
      </c>
      <c r="M52" s="665">
        <f t="shared" si="17"/>
        <v>0</v>
      </c>
      <c r="N52" s="1111"/>
      <c r="O52" s="653">
        <f t="shared" ref="O52:S52" si="18">+O57+O59+O61+O63+O65+O67+O69+O71+O73+O75+O77+O79+O81+O83+O85+O87+O89+O91+O93+O95</f>
        <v>0</v>
      </c>
      <c r="P52" s="653">
        <f t="shared" si="18"/>
        <v>0</v>
      </c>
      <c r="Q52" s="653">
        <f t="shared" si="18"/>
        <v>0</v>
      </c>
      <c r="R52" s="653">
        <f t="shared" si="18"/>
        <v>0</v>
      </c>
      <c r="S52" s="653">
        <f t="shared" si="18"/>
        <v>0</v>
      </c>
      <c r="T52" s="1113"/>
      <c r="U52" s="1616"/>
      <c r="V52" s="1602">
        <f t="shared" ref="V52:Z52" si="19">+V57+V59+V61+V63+V65+V67+V69+V71+V73+V75+V77+V79+V81+V83+V85+V87+V89+V91+V93+V95</f>
        <v>0</v>
      </c>
      <c r="W52" s="1596">
        <f t="shared" si="19"/>
        <v>0</v>
      </c>
      <c r="X52" s="1596">
        <f t="shared" si="19"/>
        <v>0</v>
      </c>
      <c r="Y52" s="1596">
        <f t="shared" si="19"/>
        <v>0</v>
      </c>
      <c r="Z52" s="1596">
        <f t="shared" si="19"/>
        <v>0</v>
      </c>
      <c r="AA52" s="1597"/>
      <c r="AB52" s="1181"/>
      <c r="AC52" s="1160"/>
      <c r="AD52" s="1160"/>
      <c r="AE52" s="1160"/>
      <c r="AF52" s="1160"/>
      <c r="AG52" s="1160"/>
      <c r="AH52" s="1160"/>
      <c r="AI52" s="1160"/>
      <c r="AJ52" s="1160"/>
      <c r="AK52" s="1160"/>
      <c r="AL52" s="1160"/>
      <c r="AM52" s="1160"/>
      <c r="AN52" s="1160"/>
      <c r="AO52" s="1160"/>
    </row>
    <row r="53" spans="2:41" s="113" customFormat="1" x14ac:dyDescent="0.2">
      <c r="B53" s="1073"/>
      <c r="C53" s="647"/>
      <c r="D53" s="648"/>
      <c r="E53" s="647" t="s">
        <v>612</v>
      </c>
      <c r="F53" s="650"/>
      <c r="G53" s="650"/>
      <c r="H53" s="1117">
        <f t="shared" ref="H53:M53" si="20">+H58+H60+H62+H64+H66+H68+H70+H72+H74+H76+H78+H80+H82+H84+H86+H88+H90+H92+H94+H96</f>
        <v>0</v>
      </c>
      <c r="I53" s="1117">
        <f t="shared" si="20"/>
        <v>0</v>
      </c>
      <c r="J53" s="1117">
        <f t="shared" si="20"/>
        <v>0</v>
      </c>
      <c r="K53" s="1117">
        <f t="shared" si="20"/>
        <v>0</v>
      </c>
      <c r="L53" s="1117">
        <f t="shared" si="20"/>
        <v>0</v>
      </c>
      <c r="M53" s="665">
        <f t="shared" si="20"/>
        <v>0</v>
      </c>
      <c r="N53" s="649"/>
      <c r="O53" s="653">
        <f t="shared" ref="O53:S53" si="21">+O58+O60+O62+O64+O66+O68+O70+O72+O74+O76+O78+O80+O82+O84+O86+O88+O90+O92+O94+O96</f>
        <v>0</v>
      </c>
      <c r="P53" s="653">
        <f t="shared" si="21"/>
        <v>0</v>
      </c>
      <c r="Q53" s="653">
        <f t="shared" si="21"/>
        <v>0</v>
      </c>
      <c r="R53" s="653">
        <f t="shared" si="21"/>
        <v>0</v>
      </c>
      <c r="S53" s="653">
        <f t="shared" si="21"/>
        <v>0</v>
      </c>
      <c r="T53" s="649"/>
      <c r="U53" s="1616"/>
      <c r="V53" s="1603">
        <f t="shared" ref="V53:Z53" si="22">+V58+V60+V62+V64+V66+V68+V70+V72+V74+V76+V78+V80+V82+V84+V86+V88+V90+V92+V94+V96</f>
        <v>0</v>
      </c>
      <c r="W53" s="653">
        <f t="shared" si="22"/>
        <v>0</v>
      </c>
      <c r="X53" s="653">
        <f t="shared" si="22"/>
        <v>0</v>
      </c>
      <c r="Y53" s="653">
        <f t="shared" si="22"/>
        <v>0</v>
      </c>
      <c r="Z53" s="653">
        <f t="shared" si="22"/>
        <v>0</v>
      </c>
      <c r="AA53" s="649"/>
      <c r="AB53" s="1181"/>
      <c r="AC53" s="1160"/>
      <c r="AD53" s="1160"/>
      <c r="AE53" s="1160"/>
      <c r="AF53" s="1160"/>
      <c r="AG53" s="1160"/>
      <c r="AH53" s="1160"/>
      <c r="AI53" s="1160"/>
      <c r="AJ53" s="1160"/>
      <c r="AK53" s="1160"/>
      <c r="AL53" s="1160"/>
      <c r="AM53" s="1160"/>
      <c r="AN53" s="1160"/>
      <c r="AO53" s="1160"/>
    </row>
    <row r="54" spans="2:41" s="113" customFormat="1" x14ac:dyDescent="0.2">
      <c r="B54" s="1073"/>
      <c r="C54" s="647"/>
      <c r="D54" s="648"/>
      <c r="E54" s="647" t="s">
        <v>615</v>
      </c>
      <c r="F54" s="650"/>
      <c r="G54" s="650"/>
      <c r="H54" s="1117">
        <f t="shared" ref="H54:M54" si="23">H158</f>
        <v>0</v>
      </c>
      <c r="I54" s="1117">
        <f t="shared" si="23"/>
        <v>0</v>
      </c>
      <c r="J54" s="1117">
        <f t="shared" si="23"/>
        <v>0</v>
      </c>
      <c r="K54" s="1117">
        <f t="shared" si="23"/>
        <v>0</v>
      </c>
      <c r="L54" s="1117">
        <f t="shared" si="23"/>
        <v>0</v>
      </c>
      <c r="M54" s="665">
        <f t="shared" si="23"/>
        <v>0</v>
      </c>
      <c r="N54" s="649"/>
      <c r="O54" s="935">
        <f t="shared" ref="O54:S54" si="24">+O158</f>
        <v>0</v>
      </c>
      <c r="P54" s="935">
        <f t="shared" si="24"/>
        <v>0</v>
      </c>
      <c r="Q54" s="935">
        <f t="shared" si="24"/>
        <v>0</v>
      </c>
      <c r="R54" s="935">
        <f t="shared" si="24"/>
        <v>0</v>
      </c>
      <c r="S54" s="935">
        <f t="shared" si="24"/>
        <v>0</v>
      </c>
      <c r="T54" s="649"/>
      <c r="U54" s="1616"/>
      <c r="V54" s="935">
        <f t="shared" ref="V54:Z54" si="25">+V158</f>
        <v>0</v>
      </c>
      <c r="W54" s="935">
        <f t="shared" si="25"/>
        <v>0</v>
      </c>
      <c r="X54" s="935">
        <f t="shared" si="25"/>
        <v>0</v>
      </c>
      <c r="Y54" s="935">
        <f t="shared" si="25"/>
        <v>0</v>
      </c>
      <c r="Z54" s="935">
        <f t="shared" si="25"/>
        <v>0</v>
      </c>
      <c r="AA54" s="649"/>
      <c r="AB54" s="1181"/>
      <c r="AC54" s="1160"/>
      <c r="AD54" s="1160"/>
      <c r="AE54" s="1160"/>
      <c r="AF54" s="1160"/>
      <c r="AG54" s="1160"/>
      <c r="AH54" s="1160"/>
      <c r="AI54" s="1160"/>
      <c r="AJ54" s="1160"/>
      <c r="AK54" s="1160"/>
      <c r="AL54" s="1160"/>
      <c r="AM54" s="1160"/>
      <c r="AN54" s="1160"/>
      <c r="AO54" s="1160"/>
    </row>
    <row r="55" spans="2:41" s="113" customFormat="1" x14ac:dyDescent="0.2">
      <c r="B55" s="1073"/>
      <c r="C55" s="70"/>
      <c r="D55" s="121"/>
      <c r="E55" s="145"/>
      <c r="F55" s="146"/>
      <c r="G55" s="146"/>
      <c r="H55" s="139"/>
      <c r="I55" s="139"/>
      <c r="J55" s="139"/>
      <c r="K55" s="139"/>
      <c r="L55" s="139"/>
      <c r="M55" s="139"/>
      <c r="N55" s="139"/>
      <c r="O55" s="139"/>
      <c r="P55" s="139"/>
      <c r="Q55" s="139"/>
      <c r="R55" s="139"/>
      <c r="S55" s="139"/>
      <c r="T55" s="139"/>
      <c r="U55" s="1617"/>
      <c r="V55" s="139"/>
      <c r="W55" s="139"/>
      <c r="X55" s="139"/>
      <c r="Y55" s="139"/>
      <c r="Z55" s="139"/>
      <c r="AA55" s="139"/>
      <c r="AB55" s="1097"/>
      <c r="AC55" s="1160"/>
      <c r="AD55" s="1160"/>
      <c r="AE55" s="1160"/>
      <c r="AF55" s="1160"/>
      <c r="AG55" s="1160"/>
      <c r="AH55" s="1160"/>
      <c r="AI55" s="1160"/>
      <c r="AJ55" s="1160"/>
      <c r="AK55" s="1160"/>
      <c r="AL55" s="1160"/>
      <c r="AM55" s="1160"/>
      <c r="AN55" s="1160"/>
      <c r="AO55" s="1160"/>
    </row>
    <row r="56" spans="2:41" s="113" customFormat="1" x14ac:dyDescent="0.2">
      <c r="B56" s="1073"/>
      <c r="C56" s="1604"/>
      <c r="D56" s="1609"/>
      <c r="E56" s="1609" t="s">
        <v>613</v>
      </c>
      <c r="F56" s="1610" t="s">
        <v>614</v>
      </c>
      <c r="G56" s="1610"/>
      <c r="H56" s="1572"/>
      <c r="I56" s="1572"/>
      <c r="J56" s="1572"/>
      <c r="K56" s="1572"/>
      <c r="L56" s="1572"/>
      <c r="M56" s="1572"/>
      <c r="N56" s="1595"/>
      <c r="O56" s="1572"/>
      <c r="P56" s="1572"/>
      <c r="Q56" s="1572"/>
      <c r="R56" s="1572"/>
      <c r="S56" s="1572"/>
      <c r="T56" s="1595"/>
      <c r="U56" s="1099"/>
      <c r="V56" s="1604"/>
      <c r="W56" s="79"/>
      <c r="X56" s="79"/>
      <c r="Y56" s="79"/>
      <c r="Z56" s="79"/>
      <c r="AA56" s="90"/>
      <c r="AB56" s="1109"/>
      <c r="AC56" s="1160"/>
      <c r="AD56" s="1160"/>
      <c r="AE56" s="1160"/>
      <c r="AF56" s="1160"/>
      <c r="AG56" s="1160"/>
      <c r="AH56" s="1160"/>
      <c r="AI56" s="1160"/>
      <c r="AJ56" s="1160"/>
      <c r="AK56" s="1160"/>
      <c r="AL56" s="1160"/>
      <c r="AM56" s="1160"/>
      <c r="AN56" s="1160"/>
      <c r="AO56" s="1160"/>
    </row>
    <row r="57" spans="2:41" s="113" customFormat="1" x14ac:dyDescent="0.2">
      <c r="B57" s="1073"/>
      <c r="C57" s="150"/>
      <c r="D57" s="50">
        <v>1</v>
      </c>
      <c r="E57" s="151" t="s">
        <v>783</v>
      </c>
      <c r="F57" s="923" t="s">
        <v>312</v>
      </c>
      <c r="G57" s="1055" t="s">
        <v>609</v>
      </c>
      <c r="H57" s="1118">
        <v>0</v>
      </c>
      <c r="I57" s="1118">
        <f>H57</f>
        <v>0</v>
      </c>
      <c r="J57" s="1118">
        <f t="shared" ref="J57:L57" si="26">I57</f>
        <v>0</v>
      </c>
      <c r="K57" s="1118">
        <f t="shared" si="26"/>
        <v>0</v>
      </c>
      <c r="L57" s="1118">
        <f t="shared" si="26"/>
        <v>0</v>
      </c>
      <c r="M57" s="1170">
        <f t="shared" ref="M57:M97" si="27">L57</f>
        <v>0</v>
      </c>
      <c r="N57" s="92"/>
      <c r="O57" s="68">
        <f>+H57*tab!$F$33</f>
        <v>0</v>
      </c>
      <c r="P57" s="68">
        <f>+I57*tab!$F$33</f>
        <v>0</v>
      </c>
      <c r="Q57" s="68">
        <f>+J57*tab!$F$33</f>
        <v>0</v>
      </c>
      <c r="R57" s="68">
        <f>+K57*tab!$F$33</f>
        <v>0</v>
      </c>
      <c r="S57" s="68">
        <f>+L57*tab!$F$33</f>
        <v>0</v>
      </c>
      <c r="T57" s="92"/>
      <c r="U57" s="1618"/>
      <c r="V57" s="1499">
        <f>+H57*tab!$F$34</f>
        <v>0</v>
      </c>
      <c r="W57" s="1499">
        <f>+I57*tab!$F$34</f>
        <v>0</v>
      </c>
      <c r="X57" s="1499">
        <f>+J57*tab!$F$34</f>
        <v>0</v>
      </c>
      <c r="Y57" s="1499">
        <f>+K57*tab!$F$34</f>
        <v>0</v>
      </c>
      <c r="Z57" s="1499">
        <f>+L57*tab!$F$34</f>
        <v>0</v>
      </c>
      <c r="AA57" s="92"/>
      <c r="AB57" s="1179"/>
      <c r="AC57" s="1160"/>
      <c r="AD57" s="1160"/>
      <c r="AE57" s="1160"/>
      <c r="AF57" s="1160"/>
      <c r="AG57" s="1160"/>
      <c r="AH57" s="1160"/>
      <c r="AI57" s="1160"/>
      <c r="AJ57" s="1160"/>
      <c r="AK57" s="1160"/>
      <c r="AL57" s="1160"/>
      <c r="AM57" s="1160"/>
      <c r="AN57" s="1160"/>
      <c r="AO57" s="1160"/>
    </row>
    <row r="58" spans="2:41" s="113" customFormat="1" x14ac:dyDescent="0.2">
      <c r="B58" s="1073"/>
      <c r="C58" s="150"/>
      <c r="D58" s="50"/>
      <c r="E58" s="1076"/>
      <c r="F58" s="1369"/>
      <c r="G58" s="1055" t="s">
        <v>610</v>
      </c>
      <c r="H58" s="1118">
        <v>0</v>
      </c>
      <c r="I58" s="1118">
        <f>H58</f>
        <v>0</v>
      </c>
      <c r="J58" s="1118">
        <f t="shared" ref="J58:L58" si="28">I58</f>
        <v>0</v>
      </c>
      <c r="K58" s="1118">
        <f t="shared" si="28"/>
        <v>0</v>
      </c>
      <c r="L58" s="1118">
        <f t="shared" si="28"/>
        <v>0</v>
      </c>
      <c r="M58" s="1170">
        <f t="shared" ref="M58" si="29">L58</f>
        <v>0</v>
      </c>
      <c r="N58" s="92"/>
      <c r="O58" s="68">
        <f>+H58*tab!$F$33</f>
        <v>0</v>
      </c>
      <c r="P58" s="68">
        <f>+I58*tab!$F$33</f>
        <v>0</v>
      </c>
      <c r="Q58" s="68">
        <f>+J58*tab!$F$33</f>
        <v>0</v>
      </c>
      <c r="R58" s="68">
        <f>+K58*tab!$F$33</f>
        <v>0</v>
      </c>
      <c r="S58" s="68">
        <f>+L58*tab!$F$33</f>
        <v>0</v>
      </c>
      <c r="T58" s="92"/>
      <c r="U58" s="1618"/>
      <c r="V58" s="1499">
        <f>+H58*tab!$F$34</f>
        <v>0</v>
      </c>
      <c r="W58" s="1499">
        <f>+I58*tab!$F$34</f>
        <v>0</v>
      </c>
      <c r="X58" s="1499">
        <f>+J58*tab!$F$34</f>
        <v>0</v>
      </c>
      <c r="Y58" s="1499">
        <f>+K58*tab!$F$34</f>
        <v>0</v>
      </c>
      <c r="Z58" s="1499">
        <f>+L58*tab!$F$34</f>
        <v>0</v>
      </c>
      <c r="AA58" s="92"/>
      <c r="AB58" s="1179"/>
      <c r="AC58" s="1160"/>
      <c r="AD58" s="1160"/>
      <c r="AE58" s="1160"/>
      <c r="AF58" s="1160"/>
      <c r="AG58" s="1160"/>
      <c r="AH58" s="1160"/>
      <c r="AI58" s="1160"/>
      <c r="AJ58" s="1160"/>
      <c r="AK58" s="1160"/>
      <c r="AL58" s="1160"/>
      <c r="AM58" s="1160"/>
      <c r="AN58" s="1160"/>
      <c r="AO58" s="1160"/>
    </row>
    <row r="59" spans="2:41" s="113" customFormat="1" x14ac:dyDescent="0.2">
      <c r="B59" s="1073"/>
      <c r="C59" s="150"/>
      <c r="D59" s="50">
        <v>2</v>
      </c>
      <c r="E59" s="151" t="s">
        <v>784</v>
      </c>
      <c r="F59" s="923" t="s">
        <v>312</v>
      </c>
      <c r="G59" s="1055" t="s">
        <v>609</v>
      </c>
      <c r="H59" s="1118">
        <v>0</v>
      </c>
      <c r="I59" s="1118">
        <f t="shared" ref="I59:L64" si="30">H59</f>
        <v>0</v>
      </c>
      <c r="J59" s="1118">
        <f t="shared" si="30"/>
        <v>0</v>
      </c>
      <c r="K59" s="1118">
        <f t="shared" si="30"/>
        <v>0</v>
      </c>
      <c r="L59" s="1118">
        <f t="shared" si="30"/>
        <v>0</v>
      </c>
      <c r="M59" s="1170">
        <f t="shared" ref="M59" si="31">L59</f>
        <v>0</v>
      </c>
      <c r="N59" s="92"/>
      <c r="O59" s="68">
        <f>+H59*tab!$F$33</f>
        <v>0</v>
      </c>
      <c r="P59" s="68">
        <f>+I59*tab!$F$33</f>
        <v>0</v>
      </c>
      <c r="Q59" s="68">
        <f>+J59*tab!$F$33</f>
        <v>0</v>
      </c>
      <c r="R59" s="68">
        <f>+K59*tab!$F$33</f>
        <v>0</v>
      </c>
      <c r="S59" s="68">
        <f>+L59*tab!$F$33</f>
        <v>0</v>
      </c>
      <c r="T59" s="92"/>
      <c r="U59" s="1618"/>
      <c r="V59" s="1499">
        <f>+H59*tab!$F$34</f>
        <v>0</v>
      </c>
      <c r="W59" s="1499">
        <f>+I59*tab!$F$34</f>
        <v>0</v>
      </c>
      <c r="X59" s="1499">
        <f>+J59*tab!$F$34</f>
        <v>0</v>
      </c>
      <c r="Y59" s="1499">
        <f>+K59*tab!$F$34</f>
        <v>0</v>
      </c>
      <c r="Z59" s="1499">
        <f>+L59*tab!$F$34</f>
        <v>0</v>
      </c>
      <c r="AA59" s="92"/>
      <c r="AB59" s="1179"/>
      <c r="AC59" s="1160"/>
      <c r="AD59" s="1160"/>
      <c r="AE59" s="1160"/>
      <c r="AF59" s="1160"/>
      <c r="AG59" s="1160"/>
      <c r="AH59" s="1160"/>
      <c r="AI59" s="1160"/>
      <c r="AJ59" s="1160"/>
      <c r="AK59" s="1160"/>
      <c r="AL59" s="1160"/>
      <c r="AM59" s="1160"/>
      <c r="AN59" s="1160"/>
      <c r="AO59" s="1160"/>
    </row>
    <row r="60" spans="2:41" s="113" customFormat="1" x14ac:dyDescent="0.2">
      <c r="B60" s="1073"/>
      <c r="C60" s="150"/>
      <c r="D60" s="50"/>
      <c r="E60" s="1076"/>
      <c r="F60" s="1369"/>
      <c r="G60" s="1055" t="s">
        <v>610</v>
      </c>
      <c r="H60" s="1118">
        <v>0</v>
      </c>
      <c r="I60" s="1118">
        <f t="shared" si="30"/>
        <v>0</v>
      </c>
      <c r="J60" s="1118">
        <f t="shared" si="30"/>
        <v>0</v>
      </c>
      <c r="K60" s="1118">
        <f t="shared" si="30"/>
        <v>0</v>
      </c>
      <c r="L60" s="1118">
        <f t="shared" si="30"/>
        <v>0</v>
      </c>
      <c r="M60" s="1170">
        <f t="shared" ref="M60" si="32">L60</f>
        <v>0</v>
      </c>
      <c r="N60" s="92"/>
      <c r="O60" s="68">
        <f>+H60*tab!$F$33</f>
        <v>0</v>
      </c>
      <c r="P60" s="68">
        <f>+I60*tab!$F$33</f>
        <v>0</v>
      </c>
      <c r="Q60" s="68">
        <f>+J60*tab!$F$33</f>
        <v>0</v>
      </c>
      <c r="R60" s="68">
        <f>+K60*tab!$F$33</f>
        <v>0</v>
      </c>
      <c r="S60" s="68">
        <f>+L60*tab!$F$33</f>
        <v>0</v>
      </c>
      <c r="T60" s="92"/>
      <c r="U60" s="1618"/>
      <c r="V60" s="1499">
        <f>+H60*tab!$F$34</f>
        <v>0</v>
      </c>
      <c r="W60" s="1499">
        <f>+I60*tab!$F$34</f>
        <v>0</v>
      </c>
      <c r="X60" s="1499">
        <f>+J60*tab!$F$34</f>
        <v>0</v>
      </c>
      <c r="Y60" s="1499">
        <f>+K60*tab!$F$34</f>
        <v>0</v>
      </c>
      <c r="Z60" s="1499">
        <f>+L60*tab!$F$34</f>
        <v>0</v>
      </c>
      <c r="AA60" s="92"/>
      <c r="AB60" s="1179"/>
      <c r="AC60" s="1160"/>
      <c r="AD60" s="1160"/>
      <c r="AE60" s="1160"/>
      <c r="AF60" s="1160"/>
      <c r="AG60" s="1160"/>
      <c r="AH60" s="1160"/>
      <c r="AI60" s="1160"/>
      <c r="AJ60" s="1160"/>
      <c r="AK60" s="1160"/>
      <c r="AL60" s="1160"/>
      <c r="AM60" s="1160"/>
      <c r="AN60" s="1160"/>
      <c r="AO60" s="1160"/>
    </row>
    <row r="61" spans="2:41" s="113" customFormat="1" x14ac:dyDescent="0.2">
      <c r="B61" s="1073"/>
      <c r="C61" s="150"/>
      <c r="D61" s="50">
        <v>3</v>
      </c>
      <c r="E61" s="151" t="s">
        <v>785</v>
      </c>
      <c r="F61" s="923" t="s">
        <v>312</v>
      </c>
      <c r="G61" s="1055" t="s">
        <v>609</v>
      </c>
      <c r="H61" s="1118">
        <v>0</v>
      </c>
      <c r="I61" s="1118">
        <f t="shared" si="30"/>
        <v>0</v>
      </c>
      <c r="J61" s="1118">
        <f t="shared" si="30"/>
        <v>0</v>
      </c>
      <c r="K61" s="1118">
        <f t="shared" si="30"/>
        <v>0</v>
      </c>
      <c r="L61" s="1118">
        <f t="shared" si="30"/>
        <v>0</v>
      </c>
      <c r="M61" s="1170">
        <f t="shared" ref="M61" si="33">L61</f>
        <v>0</v>
      </c>
      <c r="N61" s="92"/>
      <c r="O61" s="68">
        <f>+H61*tab!$F$33</f>
        <v>0</v>
      </c>
      <c r="P61" s="68">
        <f>+I61*tab!$F$33</f>
        <v>0</v>
      </c>
      <c r="Q61" s="68">
        <f>+J61*tab!$F$33</f>
        <v>0</v>
      </c>
      <c r="R61" s="68">
        <f>+K61*tab!$F$33</f>
        <v>0</v>
      </c>
      <c r="S61" s="68">
        <f>+L61*tab!$F$33</f>
        <v>0</v>
      </c>
      <c r="T61" s="92"/>
      <c r="U61" s="1618"/>
      <c r="V61" s="1499">
        <f>+H61*tab!$F$34</f>
        <v>0</v>
      </c>
      <c r="W61" s="1499">
        <f>+I61*tab!$F$34</f>
        <v>0</v>
      </c>
      <c r="X61" s="1499">
        <f>+J61*tab!$F$34</f>
        <v>0</v>
      </c>
      <c r="Y61" s="1499">
        <f>+K61*tab!$F$34</f>
        <v>0</v>
      </c>
      <c r="Z61" s="1499">
        <f>+L61*tab!$F$34</f>
        <v>0</v>
      </c>
      <c r="AA61" s="92"/>
      <c r="AB61" s="1179"/>
      <c r="AC61" s="1160"/>
      <c r="AD61" s="1160"/>
      <c r="AE61" s="1160"/>
      <c r="AF61" s="1160"/>
      <c r="AG61" s="1160"/>
      <c r="AH61" s="1160"/>
      <c r="AI61" s="1160"/>
      <c r="AJ61" s="1160"/>
      <c r="AK61" s="1160"/>
      <c r="AL61" s="1160"/>
      <c r="AM61" s="1160"/>
      <c r="AN61" s="1160"/>
      <c r="AO61" s="1160"/>
    </row>
    <row r="62" spans="2:41" s="113" customFormat="1" x14ac:dyDescent="0.2">
      <c r="B62" s="1073"/>
      <c r="C62" s="150"/>
      <c r="D62" s="50"/>
      <c r="E62" s="1076"/>
      <c r="F62" s="1369"/>
      <c r="G62" s="1055" t="s">
        <v>610</v>
      </c>
      <c r="H62" s="1118">
        <v>0</v>
      </c>
      <c r="I62" s="1118">
        <f t="shared" si="30"/>
        <v>0</v>
      </c>
      <c r="J62" s="1118">
        <f t="shared" si="30"/>
        <v>0</v>
      </c>
      <c r="K62" s="1118">
        <f t="shared" si="30"/>
        <v>0</v>
      </c>
      <c r="L62" s="1118">
        <f t="shared" si="30"/>
        <v>0</v>
      </c>
      <c r="M62" s="1170">
        <f t="shared" ref="M62" si="34">L62</f>
        <v>0</v>
      </c>
      <c r="N62" s="92"/>
      <c r="O62" s="68">
        <f>+H62*tab!$F$33</f>
        <v>0</v>
      </c>
      <c r="P62" s="68">
        <f>+I62*tab!$F$33</f>
        <v>0</v>
      </c>
      <c r="Q62" s="68">
        <f>+J62*tab!$F$33</f>
        <v>0</v>
      </c>
      <c r="R62" s="68">
        <f>+K62*tab!$F$33</f>
        <v>0</v>
      </c>
      <c r="S62" s="68">
        <f>+L62*tab!$F$33</f>
        <v>0</v>
      </c>
      <c r="T62" s="92"/>
      <c r="U62" s="1618"/>
      <c r="V62" s="1499">
        <f>+H62*tab!$F$34</f>
        <v>0</v>
      </c>
      <c r="W62" s="1499">
        <f>+I62*tab!$F$34</f>
        <v>0</v>
      </c>
      <c r="X62" s="1499">
        <f>+J62*tab!$F$34</f>
        <v>0</v>
      </c>
      <c r="Y62" s="1499">
        <f>+K62*tab!$F$34</f>
        <v>0</v>
      </c>
      <c r="Z62" s="1499">
        <f>+L62*tab!$F$34</f>
        <v>0</v>
      </c>
      <c r="AA62" s="92"/>
      <c r="AB62" s="1179"/>
      <c r="AC62" s="1160"/>
      <c r="AD62" s="1160"/>
      <c r="AE62" s="1160"/>
      <c r="AF62" s="1160"/>
      <c r="AG62" s="1160"/>
      <c r="AH62" s="1160"/>
      <c r="AI62" s="1160"/>
      <c r="AJ62" s="1160"/>
      <c r="AK62" s="1160"/>
      <c r="AL62" s="1160"/>
      <c r="AM62" s="1160"/>
      <c r="AN62" s="1160"/>
      <c r="AO62" s="1160"/>
    </row>
    <row r="63" spans="2:41" s="113" customFormat="1" x14ac:dyDescent="0.2">
      <c r="B63" s="1073"/>
      <c r="C63" s="150"/>
      <c r="D63" s="50">
        <v>4</v>
      </c>
      <c r="E63" s="151" t="s">
        <v>786</v>
      </c>
      <c r="F63" s="923" t="s">
        <v>312</v>
      </c>
      <c r="G63" s="1055" t="s">
        <v>609</v>
      </c>
      <c r="H63" s="1118">
        <v>0</v>
      </c>
      <c r="I63" s="1118">
        <f t="shared" si="30"/>
        <v>0</v>
      </c>
      <c r="J63" s="1118">
        <f t="shared" si="30"/>
        <v>0</v>
      </c>
      <c r="K63" s="1118">
        <f t="shared" si="30"/>
        <v>0</v>
      </c>
      <c r="L63" s="1118">
        <f t="shared" si="30"/>
        <v>0</v>
      </c>
      <c r="M63" s="1170">
        <f t="shared" ref="M63" si="35">L63</f>
        <v>0</v>
      </c>
      <c r="N63" s="92"/>
      <c r="O63" s="68">
        <f>+H63*tab!$F$33</f>
        <v>0</v>
      </c>
      <c r="P63" s="68">
        <f>+I63*tab!$F$33</f>
        <v>0</v>
      </c>
      <c r="Q63" s="68">
        <f>+J63*tab!$F$33</f>
        <v>0</v>
      </c>
      <c r="R63" s="68">
        <f>+K63*tab!$F$33</f>
        <v>0</v>
      </c>
      <c r="S63" s="68">
        <f>+L63*tab!$F$33</f>
        <v>0</v>
      </c>
      <c r="T63" s="92"/>
      <c r="U63" s="1618"/>
      <c r="V63" s="1499">
        <f>+H63*tab!$F$34</f>
        <v>0</v>
      </c>
      <c r="W63" s="1499">
        <f>+I63*tab!$F$34</f>
        <v>0</v>
      </c>
      <c r="X63" s="1499">
        <f>+J63*tab!$F$34</f>
        <v>0</v>
      </c>
      <c r="Y63" s="1499">
        <f>+K63*tab!$F$34</f>
        <v>0</v>
      </c>
      <c r="Z63" s="1499">
        <f>+L63*tab!$F$34</f>
        <v>0</v>
      </c>
      <c r="AA63" s="92"/>
      <c r="AB63" s="1179"/>
      <c r="AC63" s="1160"/>
      <c r="AD63" s="1160"/>
      <c r="AE63" s="1160"/>
      <c r="AF63" s="1160"/>
      <c r="AG63" s="1160"/>
      <c r="AH63" s="1160"/>
      <c r="AI63" s="1160"/>
      <c r="AJ63" s="1160"/>
      <c r="AK63" s="1160"/>
      <c r="AL63" s="1160"/>
      <c r="AM63" s="1160"/>
      <c r="AN63" s="1160"/>
      <c r="AO63" s="1160"/>
    </row>
    <row r="64" spans="2:41" s="113" customFormat="1" x14ac:dyDescent="0.2">
      <c r="B64" s="1073"/>
      <c r="C64" s="150"/>
      <c r="D64" s="50"/>
      <c r="E64" s="1076"/>
      <c r="F64" s="1369"/>
      <c r="G64" s="1055" t="s">
        <v>610</v>
      </c>
      <c r="H64" s="1118">
        <v>0</v>
      </c>
      <c r="I64" s="1118">
        <f t="shared" si="30"/>
        <v>0</v>
      </c>
      <c r="J64" s="1118">
        <f t="shared" si="30"/>
        <v>0</v>
      </c>
      <c r="K64" s="1118">
        <f t="shared" si="30"/>
        <v>0</v>
      </c>
      <c r="L64" s="1118">
        <f t="shared" si="30"/>
        <v>0</v>
      </c>
      <c r="M64" s="1170">
        <f t="shared" ref="M64" si="36">L64</f>
        <v>0</v>
      </c>
      <c r="N64" s="92"/>
      <c r="O64" s="68">
        <f>+H64*tab!$F$33</f>
        <v>0</v>
      </c>
      <c r="P64" s="68">
        <f>+I64*tab!$F$33</f>
        <v>0</v>
      </c>
      <c r="Q64" s="68">
        <f>+J64*tab!$F$33</f>
        <v>0</v>
      </c>
      <c r="R64" s="68">
        <f>+K64*tab!$F$33</f>
        <v>0</v>
      </c>
      <c r="S64" s="68">
        <f>+L64*tab!$F$33</f>
        <v>0</v>
      </c>
      <c r="T64" s="92"/>
      <c r="U64" s="1618"/>
      <c r="V64" s="1499">
        <f>+H64*tab!$F$34</f>
        <v>0</v>
      </c>
      <c r="W64" s="1499">
        <f>+I64*tab!$F$34</f>
        <v>0</v>
      </c>
      <c r="X64" s="1499">
        <f>+J64*tab!$F$34</f>
        <v>0</v>
      </c>
      <c r="Y64" s="1499">
        <f>+K64*tab!$F$34</f>
        <v>0</v>
      </c>
      <c r="Z64" s="1499">
        <f>+L64*tab!$F$34</f>
        <v>0</v>
      </c>
      <c r="AA64" s="92"/>
      <c r="AB64" s="1179"/>
      <c r="AC64" s="1160"/>
      <c r="AD64" s="1160"/>
      <c r="AE64" s="1160"/>
      <c r="AF64" s="1160"/>
      <c r="AG64" s="1160"/>
      <c r="AH64" s="1160"/>
      <c r="AI64" s="1160"/>
      <c r="AJ64" s="1160"/>
      <c r="AK64" s="1160"/>
      <c r="AL64" s="1160"/>
      <c r="AM64" s="1160"/>
      <c r="AN64" s="1160"/>
      <c r="AO64" s="1160"/>
    </row>
    <row r="65" spans="2:41" s="113" customFormat="1" x14ac:dyDescent="0.2">
      <c r="B65" s="1073"/>
      <c r="C65" s="150"/>
      <c r="D65" s="50">
        <v>5</v>
      </c>
      <c r="E65" s="151" t="s">
        <v>787</v>
      </c>
      <c r="F65" s="923" t="s">
        <v>312</v>
      </c>
      <c r="G65" s="1055" t="s">
        <v>609</v>
      </c>
      <c r="H65" s="1118">
        <v>0</v>
      </c>
      <c r="I65" s="1118">
        <f t="shared" ref="I65:L65" si="37">+H65</f>
        <v>0</v>
      </c>
      <c r="J65" s="1118">
        <f t="shared" si="37"/>
        <v>0</v>
      </c>
      <c r="K65" s="1118">
        <f t="shared" si="37"/>
        <v>0</v>
      </c>
      <c r="L65" s="1118">
        <f t="shared" si="37"/>
        <v>0</v>
      </c>
      <c r="M65" s="1170">
        <f t="shared" ref="M65" si="38">L65</f>
        <v>0</v>
      </c>
      <c r="N65" s="92"/>
      <c r="O65" s="68">
        <f>+H65*tab!$F$33</f>
        <v>0</v>
      </c>
      <c r="P65" s="68">
        <f>+I65*tab!$F$33</f>
        <v>0</v>
      </c>
      <c r="Q65" s="68">
        <f>+J65*tab!$F$33</f>
        <v>0</v>
      </c>
      <c r="R65" s="68">
        <f>+K65*tab!$F$33</f>
        <v>0</v>
      </c>
      <c r="S65" s="68">
        <f>+L65*tab!$F$33</f>
        <v>0</v>
      </c>
      <c r="T65" s="92"/>
      <c r="U65" s="1618"/>
      <c r="V65" s="1499">
        <f>+H65*tab!$F$34</f>
        <v>0</v>
      </c>
      <c r="W65" s="1499">
        <f>+I65*tab!$F$34</f>
        <v>0</v>
      </c>
      <c r="X65" s="1499">
        <f>+J65*tab!$F$34</f>
        <v>0</v>
      </c>
      <c r="Y65" s="1499">
        <f>+K65*tab!$F$34</f>
        <v>0</v>
      </c>
      <c r="Z65" s="1499">
        <f>+L65*tab!$F$34</f>
        <v>0</v>
      </c>
      <c r="AA65" s="92"/>
      <c r="AB65" s="1179"/>
      <c r="AC65" s="1160"/>
      <c r="AD65" s="1160"/>
      <c r="AE65" s="1160"/>
      <c r="AF65" s="1160"/>
      <c r="AG65" s="1160"/>
      <c r="AH65" s="1160"/>
      <c r="AI65" s="1160"/>
      <c r="AJ65" s="1160"/>
      <c r="AK65" s="1160"/>
      <c r="AL65" s="1160"/>
      <c r="AM65" s="1160"/>
      <c r="AN65" s="1160"/>
      <c r="AO65" s="1160"/>
    </row>
    <row r="66" spans="2:41" s="113" customFormat="1" x14ac:dyDescent="0.2">
      <c r="B66" s="1073"/>
      <c r="C66" s="150"/>
      <c r="D66" s="50"/>
      <c r="E66" s="1076"/>
      <c r="F66" s="1369"/>
      <c r="G66" s="1055" t="s">
        <v>610</v>
      </c>
      <c r="H66" s="1118">
        <v>0</v>
      </c>
      <c r="I66" s="1118">
        <f t="shared" ref="I66:L66" si="39">+H66</f>
        <v>0</v>
      </c>
      <c r="J66" s="1118">
        <f t="shared" si="39"/>
        <v>0</v>
      </c>
      <c r="K66" s="1118">
        <f t="shared" si="39"/>
        <v>0</v>
      </c>
      <c r="L66" s="1118">
        <f t="shared" si="39"/>
        <v>0</v>
      </c>
      <c r="M66" s="1170">
        <f t="shared" ref="M66" si="40">L66</f>
        <v>0</v>
      </c>
      <c r="N66" s="92"/>
      <c r="O66" s="68">
        <f>+H66*tab!$F$33</f>
        <v>0</v>
      </c>
      <c r="P66" s="68">
        <f>+I66*tab!$F$33</f>
        <v>0</v>
      </c>
      <c r="Q66" s="68">
        <f>+J66*tab!$F$33</f>
        <v>0</v>
      </c>
      <c r="R66" s="68">
        <f>+K66*tab!$F$33</f>
        <v>0</v>
      </c>
      <c r="S66" s="68">
        <f>+L66*tab!$F$33</f>
        <v>0</v>
      </c>
      <c r="T66" s="92"/>
      <c r="U66" s="1618"/>
      <c r="V66" s="1499">
        <f>+H66*tab!$F$34</f>
        <v>0</v>
      </c>
      <c r="W66" s="1499">
        <f>+I66*tab!$F$34</f>
        <v>0</v>
      </c>
      <c r="X66" s="1499">
        <f>+J66*tab!$F$34</f>
        <v>0</v>
      </c>
      <c r="Y66" s="1499">
        <f>+K66*tab!$F$34</f>
        <v>0</v>
      </c>
      <c r="Z66" s="1499">
        <f>+L66*tab!$F$34</f>
        <v>0</v>
      </c>
      <c r="AA66" s="92"/>
      <c r="AB66" s="1179"/>
      <c r="AC66" s="1160"/>
      <c r="AD66" s="1160"/>
      <c r="AE66" s="1160"/>
      <c r="AF66" s="1160"/>
      <c r="AG66" s="1160"/>
      <c r="AH66" s="1160"/>
      <c r="AI66" s="1160"/>
      <c r="AJ66" s="1160"/>
      <c r="AK66" s="1160"/>
      <c r="AL66" s="1160"/>
      <c r="AM66" s="1160"/>
      <c r="AN66" s="1160"/>
      <c r="AO66" s="1160"/>
    </row>
    <row r="67" spans="2:41" s="113" customFormat="1" x14ac:dyDescent="0.2">
      <c r="B67" s="1073"/>
      <c r="C67" s="150"/>
      <c r="D67" s="50">
        <v>6</v>
      </c>
      <c r="E67" s="151" t="s">
        <v>788</v>
      </c>
      <c r="F67" s="923" t="s">
        <v>312</v>
      </c>
      <c r="G67" s="1055" t="s">
        <v>609</v>
      </c>
      <c r="H67" s="1118">
        <v>0</v>
      </c>
      <c r="I67" s="1118">
        <f t="shared" ref="I67:L67" si="41">+H67</f>
        <v>0</v>
      </c>
      <c r="J67" s="1118">
        <f t="shared" si="41"/>
        <v>0</v>
      </c>
      <c r="K67" s="1118">
        <f t="shared" si="41"/>
        <v>0</v>
      </c>
      <c r="L67" s="1118">
        <f t="shared" si="41"/>
        <v>0</v>
      </c>
      <c r="M67" s="1170">
        <f t="shared" ref="M67" si="42">L67</f>
        <v>0</v>
      </c>
      <c r="N67" s="92"/>
      <c r="O67" s="68">
        <f>+H67*tab!$F$33</f>
        <v>0</v>
      </c>
      <c r="P67" s="68">
        <f>+I67*tab!$F$33</f>
        <v>0</v>
      </c>
      <c r="Q67" s="68">
        <f>+J67*tab!$F$33</f>
        <v>0</v>
      </c>
      <c r="R67" s="68">
        <f>+K67*tab!$F$33</f>
        <v>0</v>
      </c>
      <c r="S67" s="68">
        <f>+L67*tab!$F$33</f>
        <v>0</v>
      </c>
      <c r="T67" s="92"/>
      <c r="U67" s="1618"/>
      <c r="V67" s="1499">
        <f>+H67*tab!$F$34</f>
        <v>0</v>
      </c>
      <c r="W67" s="1499">
        <f>+I67*tab!$F$34</f>
        <v>0</v>
      </c>
      <c r="X67" s="1499">
        <f>+J67*tab!$F$34</f>
        <v>0</v>
      </c>
      <c r="Y67" s="1499">
        <f>+K67*tab!$F$34</f>
        <v>0</v>
      </c>
      <c r="Z67" s="1499">
        <f>+L67*tab!$F$34</f>
        <v>0</v>
      </c>
      <c r="AA67" s="92"/>
      <c r="AB67" s="1179"/>
      <c r="AC67" s="1160"/>
      <c r="AD67" s="1160"/>
      <c r="AE67" s="1160"/>
      <c r="AF67" s="1160"/>
      <c r="AG67" s="1160"/>
      <c r="AH67" s="1160"/>
      <c r="AI67" s="1160"/>
      <c r="AJ67" s="1160"/>
      <c r="AK67" s="1160"/>
      <c r="AL67" s="1160"/>
      <c r="AM67" s="1160"/>
      <c r="AN67" s="1160"/>
      <c r="AO67" s="1160"/>
    </row>
    <row r="68" spans="2:41" s="113" customFormat="1" x14ac:dyDescent="0.2">
      <c r="B68" s="1073"/>
      <c r="C68" s="150"/>
      <c r="D68" s="50"/>
      <c r="E68" s="1076"/>
      <c r="F68" s="1369"/>
      <c r="G68" s="1055" t="s">
        <v>610</v>
      </c>
      <c r="H68" s="1118">
        <v>0</v>
      </c>
      <c r="I68" s="1118">
        <f t="shared" ref="I68:L68" si="43">+H68</f>
        <v>0</v>
      </c>
      <c r="J68" s="1118">
        <f t="shared" si="43"/>
        <v>0</v>
      </c>
      <c r="K68" s="1118">
        <f t="shared" si="43"/>
        <v>0</v>
      </c>
      <c r="L68" s="1118">
        <f t="shared" si="43"/>
        <v>0</v>
      </c>
      <c r="M68" s="1170">
        <f t="shared" ref="M68" si="44">L68</f>
        <v>0</v>
      </c>
      <c r="N68" s="92"/>
      <c r="O68" s="68">
        <f>+H68*tab!$F$33</f>
        <v>0</v>
      </c>
      <c r="P68" s="68">
        <f>+I68*tab!$F$33</f>
        <v>0</v>
      </c>
      <c r="Q68" s="68">
        <f>+J68*tab!$F$33</f>
        <v>0</v>
      </c>
      <c r="R68" s="68">
        <f>+K68*tab!$F$33</f>
        <v>0</v>
      </c>
      <c r="S68" s="68">
        <f>+L68*tab!$F$33</f>
        <v>0</v>
      </c>
      <c r="T68" s="92"/>
      <c r="U68" s="1618"/>
      <c r="V68" s="1499">
        <f>+H68*tab!$F$34</f>
        <v>0</v>
      </c>
      <c r="W68" s="1499">
        <f>+I68*tab!$F$34</f>
        <v>0</v>
      </c>
      <c r="X68" s="1499">
        <f>+J68*tab!$F$34</f>
        <v>0</v>
      </c>
      <c r="Y68" s="1499">
        <f>+K68*tab!$F$34</f>
        <v>0</v>
      </c>
      <c r="Z68" s="1499">
        <f>+L68*tab!$F$34</f>
        <v>0</v>
      </c>
      <c r="AA68" s="92"/>
      <c r="AB68" s="1179"/>
      <c r="AC68" s="1160"/>
      <c r="AD68" s="1160"/>
      <c r="AE68" s="1160"/>
      <c r="AF68" s="1160"/>
      <c r="AG68" s="1160"/>
      <c r="AH68" s="1160"/>
      <c r="AI68" s="1160"/>
      <c r="AJ68" s="1160"/>
      <c r="AK68" s="1160"/>
      <c r="AL68" s="1160"/>
      <c r="AM68" s="1160"/>
      <c r="AN68" s="1160"/>
      <c r="AO68" s="1160"/>
    </row>
    <row r="69" spans="2:41" s="113" customFormat="1" x14ac:dyDescent="0.2">
      <c r="B69" s="1073"/>
      <c r="C69" s="150"/>
      <c r="D69" s="50">
        <v>7</v>
      </c>
      <c r="E69" s="151" t="s">
        <v>789</v>
      </c>
      <c r="F69" s="923" t="s">
        <v>312</v>
      </c>
      <c r="G69" s="1055" t="s">
        <v>609</v>
      </c>
      <c r="H69" s="1118">
        <v>0</v>
      </c>
      <c r="I69" s="1118">
        <f t="shared" ref="I69:L69" si="45">+H69</f>
        <v>0</v>
      </c>
      <c r="J69" s="1118">
        <f t="shared" si="45"/>
        <v>0</v>
      </c>
      <c r="K69" s="1118">
        <f t="shared" si="45"/>
        <v>0</v>
      </c>
      <c r="L69" s="1118">
        <f t="shared" si="45"/>
        <v>0</v>
      </c>
      <c r="M69" s="1170">
        <f t="shared" ref="M69" si="46">L69</f>
        <v>0</v>
      </c>
      <c r="N69" s="92"/>
      <c r="O69" s="68">
        <f>+H69*tab!$F$33</f>
        <v>0</v>
      </c>
      <c r="P69" s="68">
        <f>+I69*tab!$F$33</f>
        <v>0</v>
      </c>
      <c r="Q69" s="68">
        <f>+J69*tab!$F$33</f>
        <v>0</v>
      </c>
      <c r="R69" s="68">
        <f>+K69*tab!$F$33</f>
        <v>0</v>
      </c>
      <c r="S69" s="68">
        <f>+L69*tab!$F$33</f>
        <v>0</v>
      </c>
      <c r="T69" s="92"/>
      <c r="U69" s="1618"/>
      <c r="V69" s="1499">
        <f>+H69*tab!$F$34</f>
        <v>0</v>
      </c>
      <c r="W69" s="1499">
        <f>+I69*tab!$F$34</f>
        <v>0</v>
      </c>
      <c r="X69" s="1499">
        <f>+J69*tab!$F$34</f>
        <v>0</v>
      </c>
      <c r="Y69" s="1499">
        <f>+K69*tab!$F$34</f>
        <v>0</v>
      </c>
      <c r="Z69" s="1499">
        <f>+L69*tab!$F$34</f>
        <v>0</v>
      </c>
      <c r="AA69" s="92"/>
      <c r="AB69" s="1179"/>
      <c r="AC69" s="1160"/>
      <c r="AD69" s="1160"/>
      <c r="AE69" s="1160"/>
      <c r="AF69" s="1160"/>
      <c r="AG69" s="1160"/>
      <c r="AH69" s="1160"/>
      <c r="AI69" s="1160"/>
      <c r="AJ69" s="1160"/>
      <c r="AK69" s="1160"/>
      <c r="AL69" s="1160"/>
      <c r="AM69" s="1160"/>
      <c r="AN69" s="1160"/>
      <c r="AO69" s="1160"/>
    </row>
    <row r="70" spans="2:41" s="113" customFormat="1" x14ac:dyDescent="0.2">
      <c r="B70" s="1073"/>
      <c r="C70" s="150"/>
      <c r="D70" s="50"/>
      <c r="E70" s="1076"/>
      <c r="F70" s="1369"/>
      <c r="G70" s="1055" t="s">
        <v>610</v>
      </c>
      <c r="H70" s="1118">
        <v>0</v>
      </c>
      <c r="I70" s="1118">
        <f t="shared" ref="I70:L70" si="47">+H70</f>
        <v>0</v>
      </c>
      <c r="J70" s="1118">
        <f t="shared" si="47"/>
        <v>0</v>
      </c>
      <c r="K70" s="1118">
        <f t="shared" si="47"/>
        <v>0</v>
      </c>
      <c r="L70" s="1118">
        <f t="shared" si="47"/>
        <v>0</v>
      </c>
      <c r="M70" s="1170">
        <f t="shared" ref="M70" si="48">L70</f>
        <v>0</v>
      </c>
      <c r="N70" s="92"/>
      <c r="O70" s="68">
        <f>+H70*tab!$F$33</f>
        <v>0</v>
      </c>
      <c r="P70" s="68">
        <f>+I70*tab!$F$33</f>
        <v>0</v>
      </c>
      <c r="Q70" s="68">
        <f>+J70*tab!$F$33</f>
        <v>0</v>
      </c>
      <c r="R70" s="68">
        <f>+K70*tab!$F$33</f>
        <v>0</v>
      </c>
      <c r="S70" s="68">
        <f>+L70*tab!$F$33</f>
        <v>0</v>
      </c>
      <c r="T70" s="92"/>
      <c r="U70" s="1618"/>
      <c r="V70" s="1499">
        <f>+H70*tab!$F$34</f>
        <v>0</v>
      </c>
      <c r="W70" s="1499">
        <f>+I70*tab!$F$34</f>
        <v>0</v>
      </c>
      <c r="X70" s="1499">
        <f>+J70*tab!$F$34</f>
        <v>0</v>
      </c>
      <c r="Y70" s="1499">
        <f>+K70*tab!$F$34</f>
        <v>0</v>
      </c>
      <c r="Z70" s="1499">
        <f>+L70*tab!$F$34</f>
        <v>0</v>
      </c>
      <c r="AA70" s="92"/>
      <c r="AB70" s="1179"/>
      <c r="AC70" s="1160"/>
      <c r="AD70" s="1160"/>
      <c r="AE70" s="1160"/>
      <c r="AF70" s="1160"/>
      <c r="AG70" s="1160"/>
      <c r="AH70" s="1160"/>
      <c r="AI70" s="1160"/>
      <c r="AJ70" s="1160"/>
      <c r="AK70" s="1160"/>
      <c r="AL70" s="1160"/>
      <c r="AM70" s="1160"/>
      <c r="AN70" s="1160"/>
      <c r="AO70" s="1160"/>
    </row>
    <row r="71" spans="2:41" s="113" customFormat="1" x14ac:dyDescent="0.2">
      <c r="B71" s="1073"/>
      <c r="C71" s="150"/>
      <c r="D71" s="50">
        <v>8</v>
      </c>
      <c r="E71" s="151" t="s">
        <v>790</v>
      </c>
      <c r="F71" s="923" t="s">
        <v>312</v>
      </c>
      <c r="G71" s="1055" t="s">
        <v>609</v>
      </c>
      <c r="H71" s="1118">
        <v>0</v>
      </c>
      <c r="I71" s="1118">
        <f t="shared" ref="I71:L71" si="49">+H71</f>
        <v>0</v>
      </c>
      <c r="J71" s="1118">
        <f t="shared" si="49"/>
        <v>0</v>
      </c>
      <c r="K71" s="1118">
        <f t="shared" si="49"/>
        <v>0</v>
      </c>
      <c r="L71" s="1118">
        <f t="shared" si="49"/>
        <v>0</v>
      </c>
      <c r="M71" s="1170">
        <f t="shared" ref="M71" si="50">L71</f>
        <v>0</v>
      </c>
      <c r="N71" s="92"/>
      <c r="O71" s="68">
        <f>+H71*tab!$F$33</f>
        <v>0</v>
      </c>
      <c r="P71" s="68">
        <f>+I71*tab!$F$33</f>
        <v>0</v>
      </c>
      <c r="Q71" s="68">
        <f>+J71*tab!$F$33</f>
        <v>0</v>
      </c>
      <c r="R71" s="68">
        <f>+K71*tab!$F$33</f>
        <v>0</v>
      </c>
      <c r="S71" s="68">
        <f>+L71*tab!$F$33</f>
        <v>0</v>
      </c>
      <c r="T71" s="92"/>
      <c r="U71" s="1618"/>
      <c r="V71" s="1499">
        <f>+H71*tab!$F$34</f>
        <v>0</v>
      </c>
      <c r="W71" s="1499">
        <f>+I71*tab!$F$34</f>
        <v>0</v>
      </c>
      <c r="X71" s="1499">
        <f>+J71*tab!$F$34</f>
        <v>0</v>
      </c>
      <c r="Y71" s="1499">
        <f>+K71*tab!$F$34</f>
        <v>0</v>
      </c>
      <c r="Z71" s="1499">
        <f>+L71*tab!$F$34</f>
        <v>0</v>
      </c>
      <c r="AA71" s="92"/>
      <c r="AB71" s="1179"/>
      <c r="AC71" s="1160"/>
      <c r="AD71" s="1160"/>
      <c r="AE71" s="1160"/>
      <c r="AF71" s="1160"/>
      <c r="AG71" s="1160"/>
      <c r="AH71" s="1160"/>
      <c r="AI71" s="1160"/>
      <c r="AJ71" s="1160"/>
      <c r="AK71" s="1160"/>
      <c r="AL71" s="1160"/>
      <c r="AM71" s="1160"/>
      <c r="AN71" s="1160"/>
      <c r="AO71" s="1160"/>
    </row>
    <row r="72" spans="2:41" s="113" customFormat="1" x14ac:dyDescent="0.2">
      <c r="B72" s="1073"/>
      <c r="C72" s="150"/>
      <c r="D72" s="50"/>
      <c r="E72" s="1076"/>
      <c r="F72" s="1369"/>
      <c r="G72" s="1055" t="s">
        <v>610</v>
      </c>
      <c r="H72" s="1118">
        <v>0</v>
      </c>
      <c r="I72" s="1118">
        <f t="shared" ref="I72:L72" si="51">+H72</f>
        <v>0</v>
      </c>
      <c r="J72" s="1118">
        <f t="shared" si="51"/>
        <v>0</v>
      </c>
      <c r="K72" s="1118">
        <f t="shared" si="51"/>
        <v>0</v>
      </c>
      <c r="L72" s="1118">
        <f t="shared" si="51"/>
        <v>0</v>
      </c>
      <c r="M72" s="1170">
        <f t="shared" ref="M72" si="52">L72</f>
        <v>0</v>
      </c>
      <c r="N72" s="92"/>
      <c r="O72" s="68">
        <f>+H72*tab!$F$33</f>
        <v>0</v>
      </c>
      <c r="P72" s="68">
        <f>+I72*tab!$F$33</f>
        <v>0</v>
      </c>
      <c r="Q72" s="68">
        <f>+J72*tab!$F$33</f>
        <v>0</v>
      </c>
      <c r="R72" s="68">
        <f>+K72*tab!$F$33</f>
        <v>0</v>
      </c>
      <c r="S72" s="68">
        <f>+L72*tab!$F$33</f>
        <v>0</v>
      </c>
      <c r="T72" s="92"/>
      <c r="U72" s="1618"/>
      <c r="V72" s="1499">
        <f>+H72*tab!$F$34</f>
        <v>0</v>
      </c>
      <c r="W72" s="1499">
        <f>+I72*tab!$F$34</f>
        <v>0</v>
      </c>
      <c r="X72" s="1499">
        <f>+J72*tab!$F$34</f>
        <v>0</v>
      </c>
      <c r="Y72" s="1499">
        <f>+K72*tab!$F$34</f>
        <v>0</v>
      </c>
      <c r="Z72" s="1499">
        <f>+L72*tab!$F$34</f>
        <v>0</v>
      </c>
      <c r="AA72" s="92"/>
      <c r="AB72" s="1179"/>
      <c r="AC72" s="1160"/>
      <c r="AD72" s="1160"/>
      <c r="AE72" s="1160"/>
      <c r="AF72" s="1160"/>
      <c r="AG72" s="1160"/>
      <c r="AH72" s="1160"/>
      <c r="AI72" s="1160"/>
      <c r="AJ72" s="1160"/>
      <c r="AK72" s="1160"/>
      <c r="AL72" s="1160"/>
      <c r="AM72" s="1160"/>
      <c r="AN72" s="1160"/>
      <c r="AO72" s="1160"/>
    </row>
    <row r="73" spans="2:41" s="113" customFormat="1" x14ac:dyDescent="0.2">
      <c r="B73" s="1073"/>
      <c r="C73" s="150"/>
      <c r="D73" s="50">
        <v>9</v>
      </c>
      <c r="E73" s="151" t="s">
        <v>791</v>
      </c>
      <c r="F73" s="923" t="s">
        <v>312</v>
      </c>
      <c r="G73" s="1055" t="s">
        <v>609</v>
      </c>
      <c r="H73" s="1118">
        <v>0</v>
      </c>
      <c r="I73" s="1118">
        <f t="shared" ref="I73:L73" si="53">+H73</f>
        <v>0</v>
      </c>
      <c r="J73" s="1118">
        <f t="shared" si="53"/>
        <v>0</v>
      </c>
      <c r="K73" s="1118">
        <f t="shared" si="53"/>
        <v>0</v>
      </c>
      <c r="L73" s="1118">
        <f t="shared" si="53"/>
        <v>0</v>
      </c>
      <c r="M73" s="1170">
        <f t="shared" ref="M73" si="54">L73</f>
        <v>0</v>
      </c>
      <c r="N73" s="92"/>
      <c r="O73" s="68">
        <f>+H73*tab!$F$33</f>
        <v>0</v>
      </c>
      <c r="P73" s="68">
        <f>+I73*tab!$F$33</f>
        <v>0</v>
      </c>
      <c r="Q73" s="68">
        <f>+J73*tab!$F$33</f>
        <v>0</v>
      </c>
      <c r="R73" s="68">
        <f>+K73*tab!$F$33</f>
        <v>0</v>
      </c>
      <c r="S73" s="68">
        <f>+L73*tab!$F$33</f>
        <v>0</v>
      </c>
      <c r="T73" s="92"/>
      <c r="U73" s="1618"/>
      <c r="V73" s="1499">
        <f>+H73*tab!$F$34</f>
        <v>0</v>
      </c>
      <c r="W73" s="1499">
        <f>+I73*tab!$F$34</f>
        <v>0</v>
      </c>
      <c r="X73" s="1499">
        <f>+J73*tab!$F$34</f>
        <v>0</v>
      </c>
      <c r="Y73" s="1499">
        <f>+K73*tab!$F$34</f>
        <v>0</v>
      </c>
      <c r="Z73" s="1499">
        <f>+L73*tab!$F$34</f>
        <v>0</v>
      </c>
      <c r="AA73" s="92"/>
      <c r="AB73" s="1179"/>
      <c r="AC73" s="1160"/>
      <c r="AD73" s="1160"/>
      <c r="AE73" s="1160"/>
      <c r="AF73" s="1160"/>
      <c r="AG73" s="1160"/>
      <c r="AH73" s="1160"/>
      <c r="AI73" s="1160"/>
      <c r="AJ73" s="1160"/>
      <c r="AK73" s="1160"/>
      <c r="AL73" s="1160"/>
      <c r="AM73" s="1160"/>
      <c r="AN73" s="1160"/>
      <c r="AO73" s="1160"/>
    </row>
    <row r="74" spans="2:41" s="113" customFormat="1" x14ac:dyDescent="0.2">
      <c r="B74" s="1073"/>
      <c r="C74" s="150"/>
      <c r="D74" s="50"/>
      <c r="E74" s="1076"/>
      <c r="F74" s="1369"/>
      <c r="G74" s="1055" t="s">
        <v>610</v>
      </c>
      <c r="H74" s="1118">
        <v>0</v>
      </c>
      <c r="I74" s="1118">
        <f t="shared" ref="I74:M74" si="55">H74</f>
        <v>0</v>
      </c>
      <c r="J74" s="1119">
        <f t="shared" si="55"/>
        <v>0</v>
      </c>
      <c r="K74" s="1119">
        <f t="shared" si="55"/>
        <v>0</v>
      </c>
      <c r="L74" s="1119">
        <f t="shared" si="55"/>
        <v>0</v>
      </c>
      <c r="M74" s="1170">
        <f t="shared" si="55"/>
        <v>0</v>
      </c>
      <c r="N74" s="92"/>
      <c r="O74" s="68">
        <f>+H74*tab!$F$33</f>
        <v>0</v>
      </c>
      <c r="P74" s="68">
        <f>+I74*tab!$F$33</f>
        <v>0</v>
      </c>
      <c r="Q74" s="68">
        <f>+J74*tab!$F$33</f>
        <v>0</v>
      </c>
      <c r="R74" s="68">
        <f>+K74*tab!$F$33</f>
        <v>0</v>
      </c>
      <c r="S74" s="68">
        <f>+L74*tab!$F$33</f>
        <v>0</v>
      </c>
      <c r="T74" s="92"/>
      <c r="U74" s="1618"/>
      <c r="V74" s="1499">
        <f>+H74*tab!$F$34</f>
        <v>0</v>
      </c>
      <c r="W74" s="1499">
        <f>+I74*tab!$F$34</f>
        <v>0</v>
      </c>
      <c r="X74" s="1499">
        <f>+J74*tab!$F$34</f>
        <v>0</v>
      </c>
      <c r="Y74" s="1499">
        <f>+K74*tab!$F$34</f>
        <v>0</v>
      </c>
      <c r="Z74" s="1499">
        <f>+L74*tab!$F$34</f>
        <v>0</v>
      </c>
      <c r="AA74" s="92"/>
      <c r="AB74" s="1179"/>
      <c r="AC74" s="1160"/>
      <c r="AD74" s="1160"/>
      <c r="AE74" s="1160"/>
      <c r="AF74" s="1160"/>
      <c r="AG74" s="1160"/>
      <c r="AH74" s="1160"/>
      <c r="AI74" s="1160"/>
      <c r="AJ74" s="1160"/>
      <c r="AK74" s="1160"/>
      <c r="AL74" s="1160"/>
      <c r="AM74" s="1160"/>
      <c r="AN74" s="1160"/>
      <c r="AO74" s="1160"/>
    </row>
    <row r="75" spans="2:41" s="113" customFormat="1" x14ac:dyDescent="0.2">
      <c r="B75" s="1073"/>
      <c r="C75" s="150"/>
      <c r="D75" s="50">
        <v>10</v>
      </c>
      <c r="E75" s="151" t="s">
        <v>792</v>
      </c>
      <c r="F75" s="923" t="s">
        <v>312</v>
      </c>
      <c r="G75" s="1055" t="s">
        <v>609</v>
      </c>
      <c r="H75" s="1118">
        <v>0</v>
      </c>
      <c r="I75" s="1118">
        <f t="shared" ref="I75:M75" si="56">H75</f>
        <v>0</v>
      </c>
      <c r="J75" s="1119">
        <f t="shared" si="56"/>
        <v>0</v>
      </c>
      <c r="K75" s="1119">
        <f t="shared" si="56"/>
        <v>0</v>
      </c>
      <c r="L75" s="1119">
        <f t="shared" si="56"/>
        <v>0</v>
      </c>
      <c r="M75" s="1170">
        <f t="shared" si="56"/>
        <v>0</v>
      </c>
      <c r="N75" s="92"/>
      <c r="O75" s="68">
        <f>+H75*tab!$F$33</f>
        <v>0</v>
      </c>
      <c r="P75" s="68">
        <f>+I75*tab!$F$33</f>
        <v>0</v>
      </c>
      <c r="Q75" s="68">
        <f>+J75*tab!$F$33</f>
        <v>0</v>
      </c>
      <c r="R75" s="68">
        <f>+K75*tab!$F$33</f>
        <v>0</v>
      </c>
      <c r="S75" s="68">
        <f>+L75*tab!$F$33</f>
        <v>0</v>
      </c>
      <c r="T75" s="92"/>
      <c r="U75" s="1618"/>
      <c r="V75" s="1499">
        <f>+H75*tab!$F$34</f>
        <v>0</v>
      </c>
      <c r="W75" s="1499">
        <f>+I75*tab!$F$34</f>
        <v>0</v>
      </c>
      <c r="X75" s="1499">
        <f>+J75*tab!$F$34</f>
        <v>0</v>
      </c>
      <c r="Y75" s="1499">
        <f>+K75*tab!$F$34</f>
        <v>0</v>
      </c>
      <c r="Z75" s="1499">
        <f>+L75*tab!$F$34</f>
        <v>0</v>
      </c>
      <c r="AA75" s="92"/>
      <c r="AB75" s="1179"/>
      <c r="AC75" s="1160"/>
      <c r="AD75" s="1160"/>
      <c r="AE75" s="1160"/>
      <c r="AF75" s="1160"/>
      <c r="AG75" s="1160"/>
      <c r="AH75" s="1160"/>
      <c r="AI75" s="1160"/>
      <c r="AJ75" s="1160"/>
      <c r="AK75" s="1160"/>
      <c r="AL75" s="1160"/>
      <c r="AM75" s="1160"/>
      <c r="AN75" s="1160"/>
      <c r="AO75" s="1160"/>
    </row>
    <row r="76" spans="2:41" s="113" customFormat="1" x14ac:dyDescent="0.2">
      <c r="B76" s="1073"/>
      <c r="C76" s="150"/>
      <c r="D76" s="50"/>
      <c r="E76" s="1076"/>
      <c r="F76" s="1369"/>
      <c r="G76" s="1055" t="s">
        <v>610</v>
      </c>
      <c r="H76" s="1118">
        <v>0</v>
      </c>
      <c r="I76" s="1118">
        <f t="shared" ref="I76:M76" si="57">H76</f>
        <v>0</v>
      </c>
      <c r="J76" s="1119">
        <f t="shared" si="57"/>
        <v>0</v>
      </c>
      <c r="K76" s="1119">
        <f t="shared" si="57"/>
        <v>0</v>
      </c>
      <c r="L76" s="1119">
        <f t="shared" si="57"/>
        <v>0</v>
      </c>
      <c r="M76" s="1170">
        <f t="shared" si="57"/>
        <v>0</v>
      </c>
      <c r="N76" s="92"/>
      <c r="O76" s="68">
        <f>+H76*tab!$F$33</f>
        <v>0</v>
      </c>
      <c r="P76" s="68">
        <f>+I76*tab!$F$33</f>
        <v>0</v>
      </c>
      <c r="Q76" s="68">
        <f>+J76*tab!$F$33</f>
        <v>0</v>
      </c>
      <c r="R76" s="68">
        <f>+K76*tab!$F$33</f>
        <v>0</v>
      </c>
      <c r="S76" s="68">
        <f>+L76*tab!$F$33</f>
        <v>0</v>
      </c>
      <c r="T76" s="92"/>
      <c r="U76" s="1618"/>
      <c r="V76" s="1499">
        <f>+H76*tab!$F$34</f>
        <v>0</v>
      </c>
      <c r="W76" s="1499">
        <f>+I76*tab!$F$34</f>
        <v>0</v>
      </c>
      <c r="X76" s="1499">
        <f>+J76*tab!$F$34</f>
        <v>0</v>
      </c>
      <c r="Y76" s="1499">
        <f>+K76*tab!$F$34</f>
        <v>0</v>
      </c>
      <c r="Z76" s="1499">
        <f>+L76*tab!$F$34</f>
        <v>0</v>
      </c>
      <c r="AA76" s="92"/>
      <c r="AB76" s="1179"/>
      <c r="AC76" s="1160"/>
      <c r="AD76" s="1160"/>
      <c r="AE76" s="1160"/>
      <c r="AF76" s="1160"/>
      <c r="AG76" s="1160"/>
      <c r="AH76" s="1160"/>
      <c r="AI76" s="1160"/>
      <c r="AJ76" s="1160"/>
      <c r="AK76" s="1160"/>
      <c r="AL76" s="1160"/>
      <c r="AM76" s="1160"/>
      <c r="AN76" s="1160"/>
      <c r="AO76" s="1160"/>
    </row>
    <row r="77" spans="2:41" s="113" customFormat="1" x14ac:dyDescent="0.2">
      <c r="B77" s="1073"/>
      <c r="C77" s="150"/>
      <c r="D77" s="50">
        <v>11</v>
      </c>
      <c r="E77" s="151" t="s">
        <v>793</v>
      </c>
      <c r="F77" s="923" t="s">
        <v>312</v>
      </c>
      <c r="G77" s="1055" t="s">
        <v>609</v>
      </c>
      <c r="H77" s="1118">
        <v>0</v>
      </c>
      <c r="I77" s="1118">
        <f t="shared" ref="I77:M77" si="58">H77</f>
        <v>0</v>
      </c>
      <c r="J77" s="1119">
        <f t="shared" si="58"/>
        <v>0</v>
      </c>
      <c r="K77" s="1119">
        <f t="shared" si="58"/>
        <v>0</v>
      </c>
      <c r="L77" s="1119">
        <f t="shared" si="58"/>
        <v>0</v>
      </c>
      <c r="M77" s="1170">
        <f t="shared" si="58"/>
        <v>0</v>
      </c>
      <c r="N77" s="92"/>
      <c r="O77" s="68">
        <f>+H77*tab!$F$33</f>
        <v>0</v>
      </c>
      <c r="P77" s="68">
        <f>+I77*tab!$F$33</f>
        <v>0</v>
      </c>
      <c r="Q77" s="68">
        <f>+J77*tab!$F$33</f>
        <v>0</v>
      </c>
      <c r="R77" s="68">
        <f>+K77*tab!$F$33</f>
        <v>0</v>
      </c>
      <c r="S77" s="68">
        <f>+L77*tab!$F$33</f>
        <v>0</v>
      </c>
      <c r="T77" s="92"/>
      <c r="U77" s="1618"/>
      <c r="V77" s="1499">
        <f>+H77*tab!$F$34</f>
        <v>0</v>
      </c>
      <c r="W77" s="1499">
        <f>+I77*tab!$F$34</f>
        <v>0</v>
      </c>
      <c r="X77" s="1499">
        <f>+J77*tab!$F$34</f>
        <v>0</v>
      </c>
      <c r="Y77" s="1499">
        <f>+K77*tab!$F$34</f>
        <v>0</v>
      </c>
      <c r="Z77" s="1499">
        <f>+L77*tab!$F$34</f>
        <v>0</v>
      </c>
      <c r="AA77" s="92"/>
      <c r="AB77" s="1179"/>
      <c r="AC77" s="1160"/>
      <c r="AD77" s="1160"/>
      <c r="AE77" s="1160"/>
      <c r="AF77" s="1160"/>
      <c r="AG77" s="1160"/>
      <c r="AH77" s="1160"/>
      <c r="AI77" s="1160"/>
      <c r="AJ77" s="1160"/>
      <c r="AK77" s="1160"/>
      <c r="AL77" s="1160"/>
      <c r="AM77" s="1160"/>
      <c r="AN77" s="1160"/>
      <c r="AO77" s="1160"/>
    </row>
    <row r="78" spans="2:41" s="113" customFormat="1" x14ac:dyDescent="0.2">
      <c r="B78" s="1073"/>
      <c r="C78" s="150"/>
      <c r="D78" s="50"/>
      <c r="E78" s="1076"/>
      <c r="F78" s="1369"/>
      <c r="G78" s="1055" t="s">
        <v>610</v>
      </c>
      <c r="H78" s="1118">
        <v>0</v>
      </c>
      <c r="I78" s="1118">
        <f t="shared" ref="I78:M78" si="59">H78</f>
        <v>0</v>
      </c>
      <c r="J78" s="1119">
        <f t="shared" si="59"/>
        <v>0</v>
      </c>
      <c r="K78" s="1119">
        <f t="shared" si="59"/>
        <v>0</v>
      </c>
      <c r="L78" s="1119">
        <f t="shared" si="59"/>
        <v>0</v>
      </c>
      <c r="M78" s="1170">
        <f t="shared" si="59"/>
        <v>0</v>
      </c>
      <c r="N78" s="92"/>
      <c r="O78" s="68">
        <f>+H78*tab!$F$33</f>
        <v>0</v>
      </c>
      <c r="P78" s="68">
        <f>+I78*tab!$F$33</f>
        <v>0</v>
      </c>
      <c r="Q78" s="68">
        <f>+J78*tab!$F$33</f>
        <v>0</v>
      </c>
      <c r="R78" s="68">
        <f>+K78*tab!$F$33</f>
        <v>0</v>
      </c>
      <c r="S78" s="68">
        <f>+L78*tab!$F$33</f>
        <v>0</v>
      </c>
      <c r="T78" s="92"/>
      <c r="U78" s="1618"/>
      <c r="V78" s="1499">
        <f>+H78*tab!$F$34</f>
        <v>0</v>
      </c>
      <c r="W78" s="1499">
        <f>+I78*tab!$F$34</f>
        <v>0</v>
      </c>
      <c r="X78" s="1499">
        <f>+J78*tab!$F$34</f>
        <v>0</v>
      </c>
      <c r="Y78" s="1499">
        <f>+K78*tab!$F$34</f>
        <v>0</v>
      </c>
      <c r="Z78" s="1499">
        <f>+L78*tab!$F$34</f>
        <v>0</v>
      </c>
      <c r="AA78" s="92"/>
      <c r="AB78" s="1179"/>
      <c r="AC78" s="1160"/>
      <c r="AD78" s="1160"/>
      <c r="AE78" s="1160"/>
      <c r="AF78" s="1160"/>
      <c r="AG78" s="1160"/>
      <c r="AH78" s="1160"/>
      <c r="AI78" s="1160"/>
      <c r="AJ78" s="1160"/>
      <c r="AK78" s="1160"/>
      <c r="AL78" s="1160"/>
      <c r="AM78" s="1160"/>
      <c r="AN78" s="1160"/>
      <c r="AO78" s="1160"/>
    </row>
    <row r="79" spans="2:41" s="113" customFormat="1" x14ac:dyDescent="0.2">
      <c r="B79" s="1073"/>
      <c r="C79" s="150"/>
      <c r="D79" s="50">
        <v>12</v>
      </c>
      <c r="E79" s="151" t="s">
        <v>794</v>
      </c>
      <c r="F79" s="923" t="s">
        <v>312</v>
      </c>
      <c r="G79" s="1055" t="s">
        <v>609</v>
      </c>
      <c r="H79" s="1118">
        <v>0</v>
      </c>
      <c r="I79" s="1118">
        <f t="shared" ref="I79:M79" si="60">H79</f>
        <v>0</v>
      </c>
      <c r="J79" s="1119">
        <f t="shared" si="60"/>
        <v>0</v>
      </c>
      <c r="K79" s="1119">
        <f t="shared" si="60"/>
        <v>0</v>
      </c>
      <c r="L79" s="1119">
        <f t="shared" si="60"/>
        <v>0</v>
      </c>
      <c r="M79" s="1170">
        <f t="shared" si="60"/>
        <v>0</v>
      </c>
      <c r="N79" s="92"/>
      <c r="O79" s="68">
        <f>+H79*tab!$F$33</f>
        <v>0</v>
      </c>
      <c r="P79" s="68">
        <f>+I79*tab!$F$33</f>
        <v>0</v>
      </c>
      <c r="Q79" s="68">
        <f>+J79*tab!$F$33</f>
        <v>0</v>
      </c>
      <c r="R79" s="68">
        <f>+K79*tab!$F$33</f>
        <v>0</v>
      </c>
      <c r="S79" s="68">
        <f>+L79*tab!$F$33</f>
        <v>0</v>
      </c>
      <c r="T79" s="92"/>
      <c r="U79" s="1618"/>
      <c r="V79" s="1499">
        <f>+H79*tab!$F$34</f>
        <v>0</v>
      </c>
      <c r="W79" s="1499">
        <f>+I79*tab!$F$34</f>
        <v>0</v>
      </c>
      <c r="X79" s="1499">
        <f>+J79*tab!$F$34</f>
        <v>0</v>
      </c>
      <c r="Y79" s="1499">
        <f>+K79*tab!$F$34</f>
        <v>0</v>
      </c>
      <c r="Z79" s="1499">
        <f>+L79*tab!$F$34</f>
        <v>0</v>
      </c>
      <c r="AA79" s="92"/>
      <c r="AB79" s="1179"/>
      <c r="AC79" s="1160"/>
      <c r="AD79" s="1160"/>
      <c r="AE79" s="1160"/>
      <c r="AF79" s="1160"/>
      <c r="AG79" s="1160"/>
      <c r="AH79" s="1160"/>
      <c r="AI79" s="1160"/>
      <c r="AJ79" s="1160"/>
      <c r="AK79" s="1160"/>
      <c r="AL79" s="1160"/>
      <c r="AM79" s="1160"/>
      <c r="AN79" s="1160"/>
      <c r="AO79" s="1160"/>
    </row>
    <row r="80" spans="2:41" s="113" customFormat="1" x14ac:dyDescent="0.2">
      <c r="B80" s="1073"/>
      <c r="C80" s="150"/>
      <c r="D80" s="50"/>
      <c r="E80" s="1076"/>
      <c r="F80" s="1369"/>
      <c r="G80" s="1055" t="s">
        <v>610</v>
      </c>
      <c r="H80" s="1118">
        <v>0</v>
      </c>
      <c r="I80" s="1118">
        <f t="shared" ref="I80:M80" si="61">H80</f>
        <v>0</v>
      </c>
      <c r="J80" s="1119">
        <f t="shared" si="61"/>
        <v>0</v>
      </c>
      <c r="K80" s="1119">
        <f t="shared" si="61"/>
        <v>0</v>
      </c>
      <c r="L80" s="1119">
        <f t="shared" si="61"/>
        <v>0</v>
      </c>
      <c r="M80" s="1170">
        <f t="shared" si="61"/>
        <v>0</v>
      </c>
      <c r="N80" s="92"/>
      <c r="O80" s="68">
        <f>+H80*tab!$F$33</f>
        <v>0</v>
      </c>
      <c r="P80" s="68">
        <f>+I80*tab!$F$33</f>
        <v>0</v>
      </c>
      <c r="Q80" s="68">
        <f>+J80*tab!$F$33</f>
        <v>0</v>
      </c>
      <c r="R80" s="68">
        <f>+K80*tab!$F$33</f>
        <v>0</v>
      </c>
      <c r="S80" s="68">
        <f>+L80*tab!$F$33</f>
        <v>0</v>
      </c>
      <c r="T80" s="92"/>
      <c r="U80" s="1618"/>
      <c r="V80" s="1499">
        <f>+H80*tab!$F$34</f>
        <v>0</v>
      </c>
      <c r="W80" s="1499">
        <f>+I80*tab!$F$34</f>
        <v>0</v>
      </c>
      <c r="X80" s="1499">
        <f>+J80*tab!$F$34</f>
        <v>0</v>
      </c>
      <c r="Y80" s="1499">
        <f>+K80*tab!$F$34</f>
        <v>0</v>
      </c>
      <c r="Z80" s="1499">
        <f>+L80*tab!$F$34</f>
        <v>0</v>
      </c>
      <c r="AA80" s="92"/>
      <c r="AB80" s="1179"/>
      <c r="AC80" s="1160"/>
      <c r="AD80" s="1160"/>
      <c r="AE80" s="1160"/>
      <c r="AF80" s="1160"/>
      <c r="AG80" s="1160"/>
      <c r="AH80" s="1160"/>
      <c r="AI80" s="1160"/>
      <c r="AJ80" s="1160"/>
      <c r="AK80" s="1160"/>
      <c r="AL80" s="1160"/>
      <c r="AM80" s="1160"/>
      <c r="AN80" s="1160"/>
      <c r="AO80" s="1160"/>
    </row>
    <row r="81" spans="2:41" s="113" customFormat="1" x14ac:dyDescent="0.2">
      <c r="B81" s="1073"/>
      <c r="C81" s="150"/>
      <c r="D81" s="50">
        <v>13</v>
      </c>
      <c r="E81" s="151" t="s">
        <v>795</v>
      </c>
      <c r="F81" s="923" t="s">
        <v>312</v>
      </c>
      <c r="G81" s="1055" t="s">
        <v>609</v>
      </c>
      <c r="H81" s="1118">
        <v>0</v>
      </c>
      <c r="I81" s="1118">
        <f t="shared" ref="I81:M81" si="62">H81</f>
        <v>0</v>
      </c>
      <c r="J81" s="1119">
        <f t="shared" si="62"/>
        <v>0</v>
      </c>
      <c r="K81" s="1119">
        <f t="shared" si="62"/>
        <v>0</v>
      </c>
      <c r="L81" s="1119">
        <f t="shared" si="62"/>
        <v>0</v>
      </c>
      <c r="M81" s="1170">
        <f t="shared" si="62"/>
        <v>0</v>
      </c>
      <c r="N81" s="92"/>
      <c r="O81" s="68">
        <f>+H81*tab!$F$33</f>
        <v>0</v>
      </c>
      <c r="P81" s="68">
        <f>+I81*tab!$F$33</f>
        <v>0</v>
      </c>
      <c r="Q81" s="68">
        <f>+J81*tab!$F$33</f>
        <v>0</v>
      </c>
      <c r="R81" s="68">
        <f>+K81*tab!$F$33</f>
        <v>0</v>
      </c>
      <c r="S81" s="68">
        <f>+L81*tab!$F$33</f>
        <v>0</v>
      </c>
      <c r="T81" s="92"/>
      <c r="U81" s="1618"/>
      <c r="V81" s="1499">
        <f>+H81*tab!$F$34</f>
        <v>0</v>
      </c>
      <c r="W81" s="1499">
        <f>+I81*tab!$F$34</f>
        <v>0</v>
      </c>
      <c r="X81" s="1499">
        <f>+J81*tab!$F$34</f>
        <v>0</v>
      </c>
      <c r="Y81" s="1499">
        <f>+K81*tab!$F$34</f>
        <v>0</v>
      </c>
      <c r="Z81" s="1499">
        <f>+L81*tab!$F$34</f>
        <v>0</v>
      </c>
      <c r="AA81" s="92"/>
      <c r="AB81" s="1179"/>
      <c r="AC81" s="1160"/>
      <c r="AD81" s="1160"/>
      <c r="AE81" s="1160"/>
      <c r="AF81" s="1160"/>
      <c r="AG81" s="1160"/>
      <c r="AH81" s="1160"/>
      <c r="AI81" s="1160"/>
      <c r="AJ81" s="1160"/>
      <c r="AK81" s="1160"/>
      <c r="AL81" s="1160"/>
      <c r="AM81" s="1160"/>
      <c r="AN81" s="1160"/>
      <c r="AO81" s="1160"/>
    </row>
    <row r="82" spans="2:41" s="113" customFormat="1" x14ac:dyDescent="0.2">
      <c r="B82" s="1073"/>
      <c r="C82" s="150"/>
      <c r="D82" s="50"/>
      <c r="E82" s="1076"/>
      <c r="F82" s="1669"/>
      <c r="G82" s="1055" t="s">
        <v>610</v>
      </c>
      <c r="H82" s="1118">
        <v>0</v>
      </c>
      <c r="I82" s="1118">
        <f t="shared" ref="I82:M82" si="63">H82</f>
        <v>0</v>
      </c>
      <c r="J82" s="1119">
        <f t="shared" si="63"/>
        <v>0</v>
      </c>
      <c r="K82" s="1119">
        <f t="shared" si="63"/>
        <v>0</v>
      </c>
      <c r="L82" s="1119">
        <f t="shared" si="63"/>
        <v>0</v>
      </c>
      <c r="M82" s="1170">
        <f t="shared" si="63"/>
        <v>0</v>
      </c>
      <c r="N82" s="92"/>
      <c r="O82" s="68">
        <f>+H82*tab!$F$33</f>
        <v>0</v>
      </c>
      <c r="P82" s="68">
        <f>+I82*tab!$F$33</f>
        <v>0</v>
      </c>
      <c r="Q82" s="68">
        <f>+J82*tab!$F$33</f>
        <v>0</v>
      </c>
      <c r="R82" s="68">
        <f>+K82*tab!$F$33</f>
        <v>0</v>
      </c>
      <c r="S82" s="68">
        <f>+L82*tab!$F$33</f>
        <v>0</v>
      </c>
      <c r="T82" s="92"/>
      <c r="U82" s="1618"/>
      <c r="V82" s="1499">
        <f>+H82*tab!$F$34</f>
        <v>0</v>
      </c>
      <c r="W82" s="1499">
        <f>+I82*tab!$F$34</f>
        <v>0</v>
      </c>
      <c r="X82" s="1499">
        <f>+J82*tab!$F$34</f>
        <v>0</v>
      </c>
      <c r="Y82" s="1499">
        <f>+K82*tab!$F$34</f>
        <v>0</v>
      </c>
      <c r="Z82" s="1499">
        <f>+L82*tab!$F$34</f>
        <v>0</v>
      </c>
      <c r="AA82" s="92"/>
      <c r="AB82" s="1179"/>
      <c r="AC82" s="1160"/>
      <c r="AD82" s="1160"/>
      <c r="AE82" s="1160"/>
      <c r="AF82" s="1160"/>
      <c r="AG82" s="1160"/>
      <c r="AH82" s="1160"/>
      <c r="AI82" s="1160"/>
      <c r="AJ82" s="1160"/>
      <c r="AK82" s="1160"/>
      <c r="AL82" s="1160"/>
      <c r="AM82" s="1160"/>
      <c r="AN82" s="1160"/>
      <c r="AO82" s="1160"/>
    </row>
    <row r="83" spans="2:41" s="113" customFormat="1" x14ac:dyDescent="0.2">
      <c r="B83" s="1073"/>
      <c r="C83" s="150"/>
      <c r="D83" s="50">
        <v>14</v>
      </c>
      <c r="E83" s="151" t="s">
        <v>796</v>
      </c>
      <c r="F83" s="923" t="s">
        <v>312</v>
      </c>
      <c r="G83" s="1055" t="s">
        <v>609</v>
      </c>
      <c r="H83" s="1118">
        <v>0</v>
      </c>
      <c r="I83" s="1118">
        <f t="shared" ref="I83:M83" si="64">H83</f>
        <v>0</v>
      </c>
      <c r="J83" s="1119">
        <f t="shared" si="64"/>
        <v>0</v>
      </c>
      <c r="K83" s="1119">
        <f t="shared" si="64"/>
        <v>0</v>
      </c>
      <c r="L83" s="1119">
        <f t="shared" si="64"/>
        <v>0</v>
      </c>
      <c r="M83" s="1170">
        <f t="shared" si="64"/>
        <v>0</v>
      </c>
      <c r="N83" s="92"/>
      <c r="O83" s="68">
        <f>+H83*tab!$F$33</f>
        <v>0</v>
      </c>
      <c r="P83" s="68">
        <f>+I83*tab!$F$33</f>
        <v>0</v>
      </c>
      <c r="Q83" s="68">
        <f>+J83*tab!$F$33</f>
        <v>0</v>
      </c>
      <c r="R83" s="68">
        <f>+K83*tab!$F$33</f>
        <v>0</v>
      </c>
      <c r="S83" s="68">
        <f>+L83*tab!$F$33</f>
        <v>0</v>
      </c>
      <c r="T83" s="92"/>
      <c r="U83" s="1618"/>
      <c r="V83" s="1499">
        <f>+H83*tab!$F$34</f>
        <v>0</v>
      </c>
      <c r="W83" s="1499">
        <f>+I83*tab!$F$34</f>
        <v>0</v>
      </c>
      <c r="X83" s="1499">
        <f>+J83*tab!$F$34</f>
        <v>0</v>
      </c>
      <c r="Y83" s="1499">
        <f>+K83*tab!$F$34</f>
        <v>0</v>
      </c>
      <c r="Z83" s="1499">
        <f>+L83*tab!$F$34</f>
        <v>0</v>
      </c>
      <c r="AA83" s="92"/>
      <c r="AB83" s="1179"/>
      <c r="AC83" s="1160"/>
      <c r="AD83" s="1160"/>
      <c r="AE83" s="1160"/>
      <c r="AF83" s="1160"/>
      <c r="AG83" s="1160"/>
      <c r="AH83" s="1160"/>
      <c r="AI83" s="1160"/>
      <c r="AJ83" s="1160"/>
      <c r="AK83" s="1160"/>
      <c r="AL83" s="1160"/>
      <c r="AM83" s="1160"/>
      <c r="AN83" s="1160"/>
      <c r="AO83" s="1160"/>
    </row>
    <row r="84" spans="2:41" s="113" customFormat="1" x14ac:dyDescent="0.2">
      <c r="B84" s="1073"/>
      <c r="C84" s="150"/>
      <c r="D84" s="50"/>
      <c r="E84" s="1076"/>
      <c r="F84" s="1669"/>
      <c r="G84" s="1055" t="s">
        <v>610</v>
      </c>
      <c r="H84" s="1118">
        <v>0</v>
      </c>
      <c r="I84" s="1118">
        <f t="shared" ref="I84:M84" si="65">H84</f>
        <v>0</v>
      </c>
      <c r="J84" s="1119">
        <f t="shared" si="65"/>
        <v>0</v>
      </c>
      <c r="K84" s="1119">
        <f t="shared" si="65"/>
        <v>0</v>
      </c>
      <c r="L84" s="1119">
        <f t="shared" si="65"/>
        <v>0</v>
      </c>
      <c r="M84" s="1170">
        <f t="shared" si="65"/>
        <v>0</v>
      </c>
      <c r="N84" s="92"/>
      <c r="O84" s="68">
        <f>+H84*tab!$F$33</f>
        <v>0</v>
      </c>
      <c r="P84" s="68">
        <f>+I84*tab!$F$33</f>
        <v>0</v>
      </c>
      <c r="Q84" s="68">
        <f>+J84*tab!$F$33</f>
        <v>0</v>
      </c>
      <c r="R84" s="68">
        <f>+K84*tab!$F$33</f>
        <v>0</v>
      </c>
      <c r="S84" s="68">
        <f>+L84*tab!$F$33</f>
        <v>0</v>
      </c>
      <c r="T84" s="92"/>
      <c r="U84" s="1618"/>
      <c r="V84" s="1499">
        <f>+H84*tab!$F$34</f>
        <v>0</v>
      </c>
      <c r="W84" s="1499">
        <f>+I84*tab!$F$34</f>
        <v>0</v>
      </c>
      <c r="X84" s="1499">
        <f>+J84*tab!$F$34</f>
        <v>0</v>
      </c>
      <c r="Y84" s="1499">
        <f>+K84*tab!$F$34</f>
        <v>0</v>
      </c>
      <c r="Z84" s="1499">
        <f>+L84*tab!$F$34</f>
        <v>0</v>
      </c>
      <c r="AA84" s="92"/>
      <c r="AB84" s="1179"/>
      <c r="AC84" s="1160"/>
      <c r="AD84" s="1160"/>
      <c r="AE84" s="1160"/>
      <c r="AF84" s="1160"/>
      <c r="AG84" s="1160"/>
      <c r="AH84" s="1160"/>
      <c r="AI84" s="1160"/>
      <c r="AJ84" s="1160"/>
      <c r="AK84" s="1160"/>
      <c r="AL84" s="1160"/>
      <c r="AM84" s="1160"/>
      <c r="AN84" s="1160"/>
      <c r="AO84" s="1160"/>
    </row>
    <row r="85" spans="2:41" s="113" customFormat="1" x14ac:dyDescent="0.2">
      <c r="B85" s="1073"/>
      <c r="C85" s="150"/>
      <c r="D85" s="50">
        <v>15</v>
      </c>
      <c r="E85" s="151" t="s">
        <v>797</v>
      </c>
      <c r="F85" s="923" t="s">
        <v>312</v>
      </c>
      <c r="G85" s="1055" t="s">
        <v>609</v>
      </c>
      <c r="H85" s="1118">
        <v>0</v>
      </c>
      <c r="I85" s="1118">
        <f t="shared" ref="I85:M85" si="66">H85</f>
        <v>0</v>
      </c>
      <c r="J85" s="1119">
        <f t="shared" si="66"/>
        <v>0</v>
      </c>
      <c r="K85" s="1119">
        <f t="shared" si="66"/>
        <v>0</v>
      </c>
      <c r="L85" s="1119">
        <f t="shared" si="66"/>
        <v>0</v>
      </c>
      <c r="M85" s="1170">
        <f t="shared" si="66"/>
        <v>0</v>
      </c>
      <c r="N85" s="92"/>
      <c r="O85" s="68">
        <f>+H85*tab!$F$33</f>
        <v>0</v>
      </c>
      <c r="P85" s="68">
        <f>+I85*tab!$F$33</f>
        <v>0</v>
      </c>
      <c r="Q85" s="68">
        <f>+J85*tab!$F$33</f>
        <v>0</v>
      </c>
      <c r="R85" s="68">
        <f>+K85*tab!$F$33</f>
        <v>0</v>
      </c>
      <c r="S85" s="68">
        <f>+L85*tab!$F$33</f>
        <v>0</v>
      </c>
      <c r="T85" s="92"/>
      <c r="U85" s="1618"/>
      <c r="V85" s="1499">
        <f>+H85*tab!$F$34</f>
        <v>0</v>
      </c>
      <c r="W85" s="1499">
        <f>+I85*tab!$F$34</f>
        <v>0</v>
      </c>
      <c r="X85" s="1499">
        <f>+J85*tab!$F$34</f>
        <v>0</v>
      </c>
      <c r="Y85" s="1499">
        <f>+K85*tab!$F$34</f>
        <v>0</v>
      </c>
      <c r="Z85" s="1499">
        <f>+L85*tab!$F$34</f>
        <v>0</v>
      </c>
      <c r="AA85" s="92"/>
      <c r="AB85" s="1179"/>
      <c r="AC85" s="1160"/>
      <c r="AD85" s="1160"/>
      <c r="AE85" s="1160"/>
      <c r="AF85" s="1160"/>
      <c r="AG85" s="1160"/>
      <c r="AH85" s="1160"/>
      <c r="AI85" s="1160"/>
      <c r="AJ85" s="1160"/>
      <c r="AK85" s="1160"/>
      <c r="AL85" s="1160"/>
      <c r="AM85" s="1160"/>
      <c r="AN85" s="1160"/>
      <c r="AO85" s="1160"/>
    </row>
    <row r="86" spans="2:41" s="113" customFormat="1" x14ac:dyDescent="0.2">
      <c r="B86" s="1073"/>
      <c r="C86" s="150"/>
      <c r="D86" s="50"/>
      <c r="E86" s="1076"/>
      <c r="F86" s="1669"/>
      <c r="G86" s="1055" t="s">
        <v>610</v>
      </c>
      <c r="H86" s="1118">
        <v>0</v>
      </c>
      <c r="I86" s="1118">
        <f t="shared" ref="I86:M86" si="67">H86</f>
        <v>0</v>
      </c>
      <c r="J86" s="1119">
        <f t="shared" si="67"/>
        <v>0</v>
      </c>
      <c r="K86" s="1119">
        <f t="shared" si="67"/>
        <v>0</v>
      </c>
      <c r="L86" s="1119">
        <f t="shared" si="67"/>
        <v>0</v>
      </c>
      <c r="M86" s="1170">
        <f t="shared" si="67"/>
        <v>0</v>
      </c>
      <c r="N86" s="92"/>
      <c r="O86" s="68">
        <f>+H86*tab!$F$33</f>
        <v>0</v>
      </c>
      <c r="P86" s="68">
        <f>+I86*tab!$F$33</f>
        <v>0</v>
      </c>
      <c r="Q86" s="68">
        <f>+J86*tab!$F$33</f>
        <v>0</v>
      </c>
      <c r="R86" s="68">
        <f>+K86*tab!$F$33</f>
        <v>0</v>
      </c>
      <c r="S86" s="68">
        <f>+L86*tab!$F$33</f>
        <v>0</v>
      </c>
      <c r="T86" s="92"/>
      <c r="U86" s="1618"/>
      <c r="V86" s="1499">
        <f>+H86*tab!$F$34</f>
        <v>0</v>
      </c>
      <c r="W86" s="1499">
        <f>+I86*tab!$F$34</f>
        <v>0</v>
      </c>
      <c r="X86" s="1499">
        <f>+J86*tab!$F$34</f>
        <v>0</v>
      </c>
      <c r="Y86" s="1499">
        <f>+K86*tab!$F$34</f>
        <v>0</v>
      </c>
      <c r="Z86" s="1499">
        <f>+L86*tab!$F$34</f>
        <v>0</v>
      </c>
      <c r="AA86" s="92"/>
      <c r="AB86" s="1179"/>
      <c r="AC86" s="1160"/>
      <c r="AD86" s="1160"/>
      <c r="AE86" s="1160"/>
      <c r="AF86" s="1160"/>
      <c r="AG86" s="1160"/>
      <c r="AH86" s="1160"/>
      <c r="AI86" s="1160"/>
      <c r="AJ86" s="1160"/>
      <c r="AK86" s="1160"/>
      <c r="AL86" s="1160"/>
      <c r="AM86" s="1160"/>
      <c r="AN86" s="1160"/>
      <c r="AO86" s="1160"/>
    </row>
    <row r="87" spans="2:41" s="113" customFormat="1" x14ac:dyDescent="0.2">
      <c r="B87" s="1073"/>
      <c r="C87" s="150"/>
      <c r="D87" s="50">
        <v>16</v>
      </c>
      <c r="E87" s="151" t="s">
        <v>798</v>
      </c>
      <c r="F87" s="923" t="s">
        <v>312</v>
      </c>
      <c r="G87" s="1055" t="s">
        <v>609</v>
      </c>
      <c r="H87" s="1118">
        <v>0</v>
      </c>
      <c r="I87" s="1118">
        <f t="shared" ref="I87:M87" si="68">H87</f>
        <v>0</v>
      </c>
      <c r="J87" s="1119">
        <f t="shared" si="68"/>
        <v>0</v>
      </c>
      <c r="K87" s="1119">
        <f t="shared" si="68"/>
        <v>0</v>
      </c>
      <c r="L87" s="1119">
        <f t="shared" si="68"/>
        <v>0</v>
      </c>
      <c r="M87" s="1170">
        <f t="shared" si="68"/>
        <v>0</v>
      </c>
      <c r="N87" s="92"/>
      <c r="O87" s="68">
        <f>+H87*tab!$F$33</f>
        <v>0</v>
      </c>
      <c r="P87" s="68">
        <f>+I87*tab!$F$33</f>
        <v>0</v>
      </c>
      <c r="Q87" s="68">
        <f>+J87*tab!$F$33</f>
        <v>0</v>
      </c>
      <c r="R87" s="68">
        <f>+K87*tab!$F$33</f>
        <v>0</v>
      </c>
      <c r="S87" s="68">
        <f>+L87*tab!$F$33</f>
        <v>0</v>
      </c>
      <c r="T87" s="92"/>
      <c r="U87" s="1618"/>
      <c r="V87" s="1499">
        <f>+H87*tab!$F$34</f>
        <v>0</v>
      </c>
      <c r="W87" s="1499">
        <f>+I87*tab!$F$34</f>
        <v>0</v>
      </c>
      <c r="X87" s="1499">
        <f>+J87*tab!$F$34</f>
        <v>0</v>
      </c>
      <c r="Y87" s="1499">
        <f>+K87*tab!$F$34</f>
        <v>0</v>
      </c>
      <c r="Z87" s="1499">
        <f>+L87*tab!$F$34</f>
        <v>0</v>
      </c>
      <c r="AA87" s="92"/>
      <c r="AB87" s="1179"/>
      <c r="AC87" s="1160"/>
      <c r="AD87" s="1160"/>
      <c r="AE87" s="1160"/>
      <c r="AF87" s="1160"/>
      <c r="AG87" s="1160"/>
      <c r="AH87" s="1160"/>
      <c r="AI87" s="1160"/>
      <c r="AJ87" s="1160"/>
      <c r="AK87" s="1160"/>
      <c r="AL87" s="1160"/>
      <c r="AM87" s="1160"/>
      <c r="AN87" s="1160"/>
      <c r="AO87" s="1160"/>
    </row>
    <row r="88" spans="2:41" s="113" customFormat="1" x14ac:dyDescent="0.2">
      <c r="B88" s="1073"/>
      <c r="C88" s="150"/>
      <c r="D88" s="50"/>
      <c r="E88" s="1076"/>
      <c r="F88" s="1669"/>
      <c r="G88" s="1055" t="s">
        <v>610</v>
      </c>
      <c r="H88" s="1118">
        <v>0</v>
      </c>
      <c r="I88" s="1118">
        <f t="shared" ref="I88:M88" si="69">H88</f>
        <v>0</v>
      </c>
      <c r="J88" s="1119">
        <f t="shared" si="69"/>
        <v>0</v>
      </c>
      <c r="K88" s="1119">
        <f t="shared" si="69"/>
        <v>0</v>
      </c>
      <c r="L88" s="1119">
        <f t="shared" si="69"/>
        <v>0</v>
      </c>
      <c r="M88" s="1170">
        <f t="shared" si="69"/>
        <v>0</v>
      </c>
      <c r="N88" s="92"/>
      <c r="O88" s="68">
        <f>+H88*tab!$F$33</f>
        <v>0</v>
      </c>
      <c r="P88" s="68">
        <f>+I88*tab!$F$33</f>
        <v>0</v>
      </c>
      <c r="Q88" s="68">
        <f>+J88*tab!$F$33</f>
        <v>0</v>
      </c>
      <c r="R88" s="68">
        <f>+K88*tab!$F$33</f>
        <v>0</v>
      </c>
      <c r="S88" s="68">
        <f>+L88*tab!$F$33</f>
        <v>0</v>
      </c>
      <c r="T88" s="92"/>
      <c r="U88" s="1618"/>
      <c r="V88" s="1499">
        <f>+H88*tab!$F$34</f>
        <v>0</v>
      </c>
      <c r="W88" s="1499">
        <f>+I88*tab!$F$34</f>
        <v>0</v>
      </c>
      <c r="X88" s="1499">
        <f>+J88*tab!$F$34</f>
        <v>0</v>
      </c>
      <c r="Y88" s="1499">
        <f>+K88*tab!$F$34</f>
        <v>0</v>
      </c>
      <c r="Z88" s="1499">
        <f>+L88*tab!$F$34</f>
        <v>0</v>
      </c>
      <c r="AA88" s="92"/>
      <c r="AB88" s="1179"/>
      <c r="AC88" s="1160"/>
      <c r="AD88" s="1160"/>
      <c r="AE88" s="1160"/>
      <c r="AF88" s="1160"/>
      <c r="AG88" s="1160"/>
      <c r="AH88" s="1160"/>
      <c r="AI88" s="1160"/>
      <c r="AJ88" s="1160"/>
      <c r="AK88" s="1160"/>
      <c r="AL88" s="1160"/>
      <c r="AM88" s="1160"/>
      <c r="AN88" s="1160"/>
      <c r="AO88" s="1160"/>
    </row>
    <row r="89" spans="2:41" s="113" customFormat="1" x14ac:dyDescent="0.2">
      <c r="B89" s="1073"/>
      <c r="C89" s="150"/>
      <c r="D89" s="50">
        <v>17</v>
      </c>
      <c r="E89" s="151" t="s">
        <v>799</v>
      </c>
      <c r="F89" s="923" t="s">
        <v>312</v>
      </c>
      <c r="G89" s="1055" t="s">
        <v>609</v>
      </c>
      <c r="H89" s="1118">
        <v>0</v>
      </c>
      <c r="I89" s="1118">
        <f t="shared" ref="I89:M89" si="70">H89</f>
        <v>0</v>
      </c>
      <c r="J89" s="1119">
        <f t="shared" si="70"/>
        <v>0</v>
      </c>
      <c r="K89" s="1119">
        <f t="shared" si="70"/>
        <v>0</v>
      </c>
      <c r="L89" s="1119">
        <f t="shared" si="70"/>
        <v>0</v>
      </c>
      <c r="M89" s="1170">
        <f t="shared" si="70"/>
        <v>0</v>
      </c>
      <c r="N89" s="92"/>
      <c r="O89" s="68">
        <f>+H89*tab!$F$33</f>
        <v>0</v>
      </c>
      <c r="P89" s="68">
        <f>+I89*tab!$F$33</f>
        <v>0</v>
      </c>
      <c r="Q89" s="68">
        <f>+J89*tab!$F$33</f>
        <v>0</v>
      </c>
      <c r="R89" s="68">
        <f>+K89*tab!$F$33</f>
        <v>0</v>
      </c>
      <c r="S89" s="68">
        <f>+L89*tab!$F$33</f>
        <v>0</v>
      </c>
      <c r="T89" s="92"/>
      <c r="U89" s="1618"/>
      <c r="V89" s="1499">
        <f>+H89*tab!$F$34</f>
        <v>0</v>
      </c>
      <c r="W89" s="1499">
        <f>+I89*tab!$F$34</f>
        <v>0</v>
      </c>
      <c r="X89" s="1499">
        <f>+J89*tab!$F$34</f>
        <v>0</v>
      </c>
      <c r="Y89" s="1499">
        <f>+K89*tab!$F$34</f>
        <v>0</v>
      </c>
      <c r="Z89" s="1499">
        <f>+L89*tab!$F$34</f>
        <v>0</v>
      </c>
      <c r="AA89" s="92"/>
      <c r="AB89" s="1179"/>
      <c r="AC89" s="1160"/>
      <c r="AD89" s="1160"/>
      <c r="AE89" s="1160"/>
      <c r="AF89" s="1160"/>
      <c r="AG89" s="1160"/>
      <c r="AH89" s="1160"/>
      <c r="AI89" s="1160"/>
      <c r="AJ89" s="1160"/>
      <c r="AK89" s="1160"/>
      <c r="AL89" s="1160"/>
      <c r="AM89" s="1160"/>
      <c r="AN89" s="1160"/>
      <c r="AO89" s="1160"/>
    </row>
    <row r="90" spans="2:41" s="113" customFormat="1" x14ac:dyDescent="0.2">
      <c r="B90" s="1073"/>
      <c r="C90" s="150"/>
      <c r="D90" s="50"/>
      <c r="E90" s="1076"/>
      <c r="F90" s="1669"/>
      <c r="G90" s="1055" t="s">
        <v>610</v>
      </c>
      <c r="H90" s="1118">
        <v>0</v>
      </c>
      <c r="I90" s="1118">
        <f t="shared" ref="I90:M90" si="71">H90</f>
        <v>0</v>
      </c>
      <c r="J90" s="1119">
        <f t="shared" si="71"/>
        <v>0</v>
      </c>
      <c r="K90" s="1119">
        <f t="shared" si="71"/>
        <v>0</v>
      </c>
      <c r="L90" s="1119">
        <f t="shared" si="71"/>
        <v>0</v>
      </c>
      <c r="M90" s="1170">
        <f t="shared" si="71"/>
        <v>0</v>
      </c>
      <c r="N90" s="92"/>
      <c r="O90" s="68">
        <f>+H90*tab!$F$33</f>
        <v>0</v>
      </c>
      <c r="P90" s="68">
        <f>+I90*tab!$F$33</f>
        <v>0</v>
      </c>
      <c r="Q90" s="68">
        <f>+J90*tab!$F$33</f>
        <v>0</v>
      </c>
      <c r="R90" s="68">
        <f>+K90*tab!$F$33</f>
        <v>0</v>
      </c>
      <c r="S90" s="68">
        <f>+L90*tab!$F$33</f>
        <v>0</v>
      </c>
      <c r="T90" s="92"/>
      <c r="U90" s="1618"/>
      <c r="V90" s="1499">
        <f>+H90*tab!$F$34</f>
        <v>0</v>
      </c>
      <c r="W90" s="1499">
        <f>+I90*tab!$F$34</f>
        <v>0</v>
      </c>
      <c r="X90" s="1499">
        <f>+J90*tab!$F$34</f>
        <v>0</v>
      </c>
      <c r="Y90" s="1499">
        <f>+K90*tab!$F$34</f>
        <v>0</v>
      </c>
      <c r="Z90" s="1499">
        <f>+L90*tab!$F$34</f>
        <v>0</v>
      </c>
      <c r="AA90" s="92"/>
      <c r="AB90" s="1179"/>
      <c r="AC90" s="1160"/>
      <c r="AD90" s="1160"/>
      <c r="AE90" s="1160"/>
      <c r="AF90" s="1160"/>
      <c r="AG90" s="1160"/>
      <c r="AH90" s="1160"/>
      <c r="AI90" s="1160"/>
      <c r="AJ90" s="1160"/>
      <c r="AK90" s="1160"/>
      <c r="AL90" s="1160"/>
      <c r="AM90" s="1160"/>
      <c r="AN90" s="1160"/>
      <c r="AO90" s="1160"/>
    </row>
    <row r="91" spans="2:41" s="113" customFormat="1" x14ac:dyDescent="0.2">
      <c r="B91" s="1073"/>
      <c r="C91" s="150"/>
      <c r="D91" s="50">
        <v>18</v>
      </c>
      <c r="E91" s="151" t="s">
        <v>800</v>
      </c>
      <c r="F91" s="923" t="s">
        <v>312</v>
      </c>
      <c r="G91" s="1055" t="s">
        <v>609</v>
      </c>
      <c r="H91" s="1118">
        <v>0</v>
      </c>
      <c r="I91" s="1118">
        <f t="shared" ref="I91:M91" si="72">H91</f>
        <v>0</v>
      </c>
      <c r="J91" s="1119">
        <f t="shared" si="72"/>
        <v>0</v>
      </c>
      <c r="K91" s="1119">
        <f t="shared" si="72"/>
        <v>0</v>
      </c>
      <c r="L91" s="1119">
        <f t="shared" si="72"/>
        <v>0</v>
      </c>
      <c r="M91" s="1170">
        <f t="shared" si="72"/>
        <v>0</v>
      </c>
      <c r="N91" s="92"/>
      <c r="O91" s="68">
        <f>+H91*tab!$F$33</f>
        <v>0</v>
      </c>
      <c r="P91" s="68">
        <f>+I91*tab!$F$33</f>
        <v>0</v>
      </c>
      <c r="Q91" s="68">
        <f>+J91*tab!$F$33</f>
        <v>0</v>
      </c>
      <c r="R91" s="68">
        <f>+K91*tab!$F$33</f>
        <v>0</v>
      </c>
      <c r="S91" s="68">
        <f>+L91*tab!$F$33</f>
        <v>0</v>
      </c>
      <c r="T91" s="92"/>
      <c r="U91" s="1618"/>
      <c r="V91" s="1499">
        <f>+H91*tab!$F$34</f>
        <v>0</v>
      </c>
      <c r="W91" s="1499">
        <f>+I91*tab!$F$34</f>
        <v>0</v>
      </c>
      <c r="X91" s="1499">
        <f>+J91*tab!$F$34</f>
        <v>0</v>
      </c>
      <c r="Y91" s="1499">
        <f>+K91*tab!$F$34</f>
        <v>0</v>
      </c>
      <c r="Z91" s="1499">
        <f>+L91*tab!$F$34</f>
        <v>0</v>
      </c>
      <c r="AA91" s="92"/>
      <c r="AB91" s="1179"/>
      <c r="AC91" s="1160"/>
      <c r="AD91" s="1160"/>
      <c r="AE91" s="1160"/>
      <c r="AF91" s="1160"/>
      <c r="AG91" s="1160"/>
      <c r="AH91" s="1160"/>
      <c r="AI91" s="1160"/>
      <c r="AJ91" s="1160"/>
      <c r="AK91" s="1160"/>
      <c r="AL91" s="1160"/>
      <c r="AM91" s="1160"/>
      <c r="AN91" s="1160"/>
      <c r="AO91" s="1160"/>
    </row>
    <row r="92" spans="2:41" s="113" customFormat="1" x14ac:dyDescent="0.2">
      <c r="B92" s="1073"/>
      <c r="C92" s="150"/>
      <c r="D92" s="50"/>
      <c r="E92" s="1076"/>
      <c r="F92" s="1669"/>
      <c r="G92" s="1055" t="s">
        <v>610</v>
      </c>
      <c r="H92" s="1118">
        <v>0</v>
      </c>
      <c r="I92" s="1118">
        <f t="shared" ref="I92:M92" si="73">H92</f>
        <v>0</v>
      </c>
      <c r="J92" s="1119">
        <f t="shared" si="73"/>
        <v>0</v>
      </c>
      <c r="K92" s="1119">
        <f t="shared" si="73"/>
        <v>0</v>
      </c>
      <c r="L92" s="1119">
        <f t="shared" si="73"/>
        <v>0</v>
      </c>
      <c r="M92" s="1170">
        <f t="shared" si="73"/>
        <v>0</v>
      </c>
      <c r="N92" s="92"/>
      <c r="O92" s="68">
        <f>+H92*tab!$F$33</f>
        <v>0</v>
      </c>
      <c r="P92" s="68">
        <f>+I92*tab!$F$33</f>
        <v>0</v>
      </c>
      <c r="Q92" s="68">
        <f>+J92*tab!$F$33</f>
        <v>0</v>
      </c>
      <c r="R92" s="68">
        <f>+K92*tab!$F$33</f>
        <v>0</v>
      </c>
      <c r="S92" s="68">
        <f>+L92*tab!$F$33</f>
        <v>0</v>
      </c>
      <c r="T92" s="92"/>
      <c r="U92" s="1618"/>
      <c r="V92" s="1499">
        <f>+H92*tab!$F$34</f>
        <v>0</v>
      </c>
      <c r="W92" s="1499">
        <f>+I92*tab!$F$34</f>
        <v>0</v>
      </c>
      <c r="X92" s="1499">
        <f>+J92*tab!$F$34</f>
        <v>0</v>
      </c>
      <c r="Y92" s="1499">
        <f>+K92*tab!$F$34</f>
        <v>0</v>
      </c>
      <c r="Z92" s="1499">
        <f>+L92*tab!$F$34</f>
        <v>0</v>
      </c>
      <c r="AA92" s="92"/>
      <c r="AB92" s="1179"/>
      <c r="AC92" s="1160"/>
      <c r="AD92" s="1160"/>
      <c r="AE92" s="1160"/>
      <c r="AF92" s="1160"/>
      <c r="AG92" s="1160"/>
      <c r="AH92" s="1160"/>
      <c r="AI92" s="1160"/>
      <c r="AJ92" s="1160"/>
      <c r="AK92" s="1160"/>
      <c r="AL92" s="1160"/>
      <c r="AM92" s="1160"/>
      <c r="AN92" s="1160"/>
      <c r="AO92" s="1160"/>
    </row>
    <row r="93" spans="2:41" s="113" customFormat="1" x14ac:dyDescent="0.2">
      <c r="B93" s="1073"/>
      <c r="C93" s="150"/>
      <c r="D93" s="50">
        <v>19</v>
      </c>
      <c r="E93" s="151" t="s">
        <v>801</v>
      </c>
      <c r="F93" s="923" t="s">
        <v>312</v>
      </c>
      <c r="G93" s="1055" t="s">
        <v>609</v>
      </c>
      <c r="H93" s="1118">
        <v>0</v>
      </c>
      <c r="I93" s="1118">
        <f t="shared" ref="I93:M93" si="74">H93</f>
        <v>0</v>
      </c>
      <c r="J93" s="1119">
        <f t="shared" si="74"/>
        <v>0</v>
      </c>
      <c r="K93" s="1119">
        <f t="shared" si="74"/>
        <v>0</v>
      </c>
      <c r="L93" s="1119">
        <f t="shared" si="74"/>
        <v>0</v>
      </c>
      <c r="M93" s="1170">
        <f t="shared" si="74"/>
        <v>0</v>
      </c>
      <c r="N93" s="92"/>
      <c r="O93" s="68">
        <f>+H93*tab!$F$33</f>
        <v>0</v>
      </c>
      <c r="P93" s="68">
        <f>+I93*tab!$F$33</f>
        <v>0</v>
      </c>
      <c r="Q93" s="68">
        <f>+J93*tab!$F$33</f>
        <v>0</v>
      </c>
      <c r="R93" s="68">
        <f>+K93*tab!$F$33</f>
        <v>0</v>
      </c>
      <c r="S93" s="68">
        <f>+L93*tab!$F$33</f>
        <v>0</v>
      </c>
      <c r="T93" s="92"/>
      <c r="U93" s="1618"/>
      <c r="V93" s="1499">
        <f>+H93*tab!$F$34</f>
        <v>0</v>
      </c>
      <c r="W93" s="1499">
        <f>+I93*tab!$F$34</f>
        <v>0</v>
      </c>
      <c r="X93" s="1499">
        <f>+J93*tab!$F$34</f>
        <v>0</v>
      </c>
      <c r="Y93" s="1499">
        <f>+K93*tab!$F$34</f>
        <v>0</v>
      </c>
      <c r="Z93" s="1499">
        <f>+L93*tab!$F$34</f>
        <v>0</v>
      </c>
      <c r="AA93" s="92"/>
      <c r="AB93" s="1179"/>
      <c r="AC93" s="1160"/>
      <c r="AD93" s="1160"/>
      <c r="AE93" s="1160"/>
      <c r="AF93" s="1160"/>
      <c r="AG93" s="1160"/>
      <c r="AH93" s="1160"/>
      <c r="AI93" s="1160"/>
      <c r="AJ93" s="1160"/>
      <c r="AK93" s="1160"/>
      <c r="AL93" s="1160"/>
      <c r="AM93" s="1160"/>
      <c r="AN93" s="1160"/>
      <c r="AO93" s="1160"/>
    </row>
    <row r="94" spans="2:41" s="113" customFormat="1" x14ac:dyDescent="0.2">
      <c r="B94" s="1073"/>
      <c r="C94" s="150"/>
      <c r="D94" s="50"/>
      <c r="E94" s="1076"/>
      <c r="F94" s="1669"/>
      <c r="G94" s="1055" t="s">
        <v>610</v>
      </c>
      <c r="H94" s="1118">
        <v>0</v>
      </c>
      <c r="I94" s="1118">
        <f t="shared" ref="I94:M94" si="75">H94</f>
        <v>0</v>
      </c>
      <c r="J94" s="1119">
        <f t="shared" si="75"/>
        <v>0</v>
      </c>
      <c r="K94" s="1119">
        <f t="shared" si="75"/>
        <v>0</v>
      </c>
      <c r="L94" s="1119">
        <f t="shared" si="75"/>
        <v>0</v>
      </c>
      <c r="M94" s="1170">
        <f t="shared" si="75"/>
        <v>0</v>
      </c>
      <c r="N94" s="92"/>
      <c r="O94" s="68">
        <f>+H94*tab!$F$33</f>
        <v>0</v>
      </c>
      <c r="P94" s="68">
        <f>+I94*tab!$F$33</f>
        <v>0</v>
      </c>
      <c r="Q94" s="68">
        <f>+J94*tab!$F$33</f>
        <v>0</v>
      </c>
      <c r="R94" s="68">
        <f>+K94*tab!$F$33</f>
        <v>0</v>
      </c>
      <c r="S94" s="68">
        <f>+L94*tab!$F$33</f>
        <v>0</v>
      </c>
      <c r="T94" s="92"/>
      <c r="U94" s="1618"/>
      <c r="V94" s="1499">
        <f>+H94*tab!$F$34</f>
        <v>0</v>
      </c>
      <c r="W94" s="1499">
        <f>+I94*tab!$F$34</f>
        <v>0</v>
      </c>
      <c r="X94" s="1499">
        <f>+J94*tab!$F$34</f>
        <v>0</v>
      </c>
      <c r="Y94" s="1499">
        <f>+K94*tab!$F$34</f>
        <v>0</v>
      </c>
      <c r="Z94" s="1499">
        <f>+L94*tab!$F$34</f>
        <v>0</v>
      </c>
      <c r="AA94" s="92"/>
      <c r="AB94" s="1179"/>
      <c r="AC94" s="1160"/>
      <c r="AD94" s="1160"/>
      <c r="AE94" s="1160"/>
      <c r="AF94" s="1160"/>
      <c r="AG94" s="1160"/>
      <c r="AH94" s="1160"/>
      <c r="AI94" s="1160"/>
      <c r="AJ94" s="1160"/>
      <c r="AK94" s="1160"/>
      <c r="AL94" s="1160"/>
      <c r="AM94" s="1160"/>
      <c r="AN94" s="1160"/>
      <c r="AO94" s="1160"/>
    </row>
    <row r="95" spans="2:41" s="113" customFormat="1" x14ac:dyDescent="0.2">
      <c r="B95" s="1073"/>
      <c r="C95" s="150"/>
      <c r="D95" s="50">
        <v>20</v>
      </c>
      <c r="E95" s="151" t="s">
        <v>802</v>
      </c>
      <c r="F95" s="923" t="s">
        <v>312</v>
      </c>
      <c r="G95" s="1055" t="s">
        <v>609</v>
      </c>
      <c r="H95" s="1118">
        <v>0</v>
      </c>
      <c r="I95" s="1118">
        <f t="shared" ref="I95:M95" si="76">H95</f>
        <v>0</v>
      </c>
      <c r="J95" s="1119">
        <f t="shared" si="76"/>
        <v>0</v>
      </c>
      <c r="K95" s="1119">
        <f t="shared" si="76"/>
        <v>0</v>
      </c>
      <c r="L95" s="1119">
        <f t="shared" si="76"/>
        <v>0</v>
      </c>
      <c r="M95" s="1170">
        <f t="shared" si="76"/>
        <v>0</v>
      </c>
      <c r="N95" s="92"/>
      <c r="O95" s="68">
        <f>+H95*tab!$F$33</f>
        <v>0</v>
      </c>
      <c r="P95" s="68">
        <f>+I95*tab!$F$33</f>
        <v>0</v>
      </c>
      <c r="Q95" s="68">
        <f>+J95*tab!$F$33</f>
        <v>0</v>
      </c>
      <c r="R95" s="68">
        <f>+K95*tab!$F$33</f>
        <v>0</v>
      </c>
      <c r="S95" s="68">
        <f>+L95*tab!$F$33</f>
        <v>0</v>
      </c>
      <c r="T95" s="92"/>
      <c r="U95" s="1618"/>
      <c r="V95" s="1499">
        <f>+H95*tab!$F$34</f>
        <v>0</v>
      </c>
      <c r="W95" s="1499">
        <f>+I95*tab!$F$34</f>
        <v>0</v>
      </c>
      <c r="X95" s="1499">
        <f>+J95*tab!$F$34</f>
        <v>0</v>
      </c>
      <c r="Y95" s="1499">
        <f>+K95*tab!$F$34</f>
        <v>0</v>
      </c>
      <c r="Z95" s="1499">
        <f>+L95*tab!$F$34</f>
        <v>0</v>
      </c>
      <c r="AA95" s="92"/>
      <c r="AB95" s="1179"/>
      <c r="AC95" s="1160"/>
      <c r="AD95" s="1160"/>
      <c r="AE95" s="1160"/>
      <c r="AF95" s="1160"/>
      <c r="AG95" s="1160"/>
      <c r="AH95" s="1160"/>
      <c r="AI95" s="1160"/>
      <c r="AJ95" s="1160"/>
      <c r="AK95" s="1160"/>
      <c r="AL95" s="1160"/>
      <c r="AM95" s="1160"/>
      <c r="AN95" s="1160"/>
      <c r="AO95" s="1160"/>
    </row>
    <row r="96" spans="2:41" s="113" customFormat="1" x14ac:dyDescent="0.2">
      <c r="B96" s="1073"/>
      <c r="C96" s="150"/>
      <c r="D96" s="50"/>
      <c r="E96" s="1076"/>
      <c r="F96" s="1669"/>
      <c r="G96" s="1055" t="s">
        <v>610</v>
      </c>
      <c r="H96" s="1118">
        <v>0</v>
      </c>
      <c r="I96" s="1118">
        <f t="shared" ref="I96:M96" si="77">H96</f>
        <v>0</v>
      </c>
      <c r="J96" s="1119">
        <f t="shared" si="77"/>
        <v>0</v>
      </c>
      <c r="K96" s="1119">
        <f t="shared" si="77"/>
        <v>0</v>
      </c>
      <c r="L96" s="1119">
        <f t="shared" si="77"/>
        <v>0</v>
      </c>
      <c r="M96" s="1170">
        <f t="shared" si="77"/>
        <v>0</v>
      </c>
      <c r="N96" s="92"/>
      <c r="O96" s="68">
        <f>+H96*tab!$F$33</f>
        <v>0</v>
      </c>
      <c r="P96" s="68">
        <f>+I96*tab!$F$33</f>
        <v>0</v>
      </c>
      <c r="Q96" s="68">
        <f>+J96*tab!$F$33</f>
        <v>0</v>
      </c>
      <c r="R96" s="68">
        <f>+K96*tab!$F$33</f>
        <v>0</v>
      </c>
      <c r="S96" s="68">
        <f>+L96*tab!$F$33</f>
        <v>0</v>
      </c>
      <c r="T96" s="92"/>
      <c r="U96" s="1618"/>
      <c r="V96" s="1499">
        <f>+H96*tab!$F$34</f>
        <v>0</v>
      </c>
      <c r="W96" s="1499">
        <f>+I96*tab!$F$34</f>
        <v>0</v>
      </c>
      <c r="X96" s="1499">
        <f>+J96*tab!$F$34</f>
        <v>0</v>
      </c>
      <c r="Y96" s="1499">
        <f>+K96*tab!$F$34</f>
        <v>0</v>
      </c>
      <c r="Z96" s="1499">
        <f>+L96*tab!$F$34</f>
        <v>0</v>
      </c>
      <c r="AA96" s="92"/>
      <c r="AB96" s="1179"/>
      <c r="AC96" s="1160"/>
      <c r="AD96" s="1160"/>
      <c r="AE96" s="1160"/>
      <c r="AF96" s="1160"/>
      <c r="AG96" s="1160"/>
      <c r="AH96" s="1160"/>
      <c r="AI96" s="1160"/>
      <c r="AJ96" s="1160"/>
      <c r="AK96" s="1160"/>
      <c r="AL96" s="1160"/>
      <c r="AM96" s="1160"/>
      <c r="AN96" s="1160"/>
      <c r="AO96" s="1160"/>
    </row>
    <row r="97" spans="2:41" s="113" customFormat="1" x14ac:dyDescent="0.2">
      <c r="B97" s="1073"/>
      <c r="C97" s="150"/>
      <c r="D97" s="50">
        <v>21</v>
      </c>
      <c r="E97" s="151" t="s">
        <v>803</v>
      </c>
      <c r="F97" s="923" t="s">
        <v>312</v>
      </c>
      <c r="G97" s="1055" t="s">
        <v>609</v>
      </c>
      <c r="H97" s="1118">
        <v>0</v>
      </c>
      <c r="I97" s="1118">
        <f t="shared" ref="I97" si="78">H97</f>
        <v>0</v>
      </c>
      <c r="J97" s="1119">
        <f t="shared" ref="J97" si="79">I97</f>
        <v>0</v>
      </c>
      <c r="K97" s="1119">
        <f t="shared" ref="K97" si="80">J97</f>
        <v>0</v>
      </c>
      <c r="L97" s="1119">
        <f t="shared" ref="L97" si="81">K97</f>
        <v>0</v>
      </c>
      <c r="M97" s="1170">
        <f t="shared" si="27"/>
        <v>0</v>
      </c>
      <c r="N97" s="92"/>
      <c r="O97" s="68">
        <f>+H97*tab!$F$33</f>
        <v>0</v>
      </c>
      <c r="P97" s="68">
        <f>+I97*tab!$F$33</f>
        <v>0</v>
      </c>
      <c r="Q97" s="68">
        <f>+J97*tab!$F$33</f>
        <v>0</v>
      </c>
      <c r="R97" s="68">
        <f>+K97*tab!$F$33</f>
        <v>0</v>
      </c>
      <c r="S97" s="68">
        <f>+L97*tab!$F$33</f>
        <v>0</v>
      </c>
      <c r="T97" s="92"/>
      <c r="U97" s="1618"/>
      <c r="V97" s="1499">
        <f>+H97*tab!$F$34</f>
        <v>0</v>
      </c>
      <c r="W97" s="1499">
        <f>+I97*tab!$F$34</f>
        <v>0</v>
      </c>
      <c r="X97" s="1499">
        <f>+J97*tab!$F$34</f>
        <v>0</v>
      </c>
      <c r="Y97" s="1499">
        <f>+K97*tab!$F$34</f>
        <v>0</v>
      </c>
      <c r="Z97" s="1499">
        <f>+L97*tab!$F$34</f>
        <v>0</v>
      </c>
      <c r="AA97" s="92"/>
      <c r="AB97" s="1179"/>
      <c r="AC97" s="1160"/>
      <c r="AD97" s="1160"/>
      <c r="AE97" s="1160"/>
      <c r="AF97" s="1160"/>
      <c r="AG97" s="1160"/>
      <c r="AH97" s="1160"/>
      <c r="AI97" s="1160"/>
      <c r="AJ97" s="1160"/>
      <c r="AK97" s="1160"/>
      <c r="AL97" s="1160"/>
      <c r="AM97" s="1160"/>
      <c r="AN97" s="1160"/>
      <c r="AO97" s="1160"/>
    </row>
    <row r="98" spans="2:41" s="113" customFormat="1" x14ac:dyDescent="0.2">
      <c r="B98" s="1073"/>
      <c r="C98" s="150"/>
      <c r="D98" s="50"/>
      <c r="E98" s="1076"/>
      <c r="F98" s="1669"/>
      <c r="G98" s="1055" t="s">
        <v>610</v>
      </c>
      <c r="H98" s="1118">
        <v>0</v>
      </c>
      <c r="I98" s="1118">
        <f t="shared" ref="I98:I116" si="82">H98</f>
        <v>0</v>
      </c>
      <c r="J98" s="1119">
        <f t="shared" ref="J98:J116" si="83">I98</f>
        <v>0</v>
      </c>
      <c r="K98" s="1119">
        <f t="shared" ref="K98:K116" si="84">J98</f>
        <v>0</v>
      </c>
      <c r="L98" s="1119">
        <f t="shared" ref="L98:L116" si="85">K98</f>
        <v>0</v>
      </c>
      <c r="M98" s="1170">
        <f t="shared" ref="M98:M116" si="86">L98</f>
        <v>0</v>
      </c>
      <c r="N98" s="92"/>
      <c r="O98" s="68">
        <f>+H98*tab!$F$33</f>
        <v>0</v>
      </c>
      <c r="P98" s="68">
        <f>+I98*tab!$F$33</f>
        <v>0</v>
      </c>
      <c r="Q98" s="68">
        <f>+J98*tab!$F$33</f>
        <v>0</v>
      </c>
      <c r="R98" s="68">
        <f>+K98*tab!$F$33</f>
        <v>0</v>
      </c>
      <c r="S98" s="68">
        <f>+L98*tab!$F$33</f>
        <v>0</v>
      </c>
      <c r="T98" s="92"/>
      <c r="U98" s="1618"/>
      <c r="V98" s="1499">
        <f>+H98*tab!$F$34</f>
        <v>0</v>
      </c>
      <c r="W98" s="1499">
        <f>+I98*tab!$F$34</f>
        <v>0</v>
      </c>
      <c r="X98" s="1499">
        <f>+J98*tab!$F$34</f>
        <v>0</v>
      </c>
      <c r="Y98" s="1499">
        <f>+K98*tab!$F$34</f>
        <v>0</v>
      </c>
      <c r="Z98" s="1499">
        <f>+L98*tab!$F$34</f>
        <v>0</v>
      </c>
      <c r="AA98" s="92"/>
      <c r="AB98" s="1179"/>
      <c r="AC98" s="1160"/>
      <c r="AD98" s="1160"/>
      <c r="AE98" s="1160"/>
      <c r="AF98" s="1160"/>
      <c r="AG98" s="1160"/>
      <c r="AH98" s="1160"/>
      <c r="AI98" s="1160"/>
      <c r="AJ98" s="1160"/>
      <c r="AK98" s="1160"/>
      <c r="AL98" s="1160"/>
      <c r="AM98" s="1160"/>
      <c r="AN98" s="1160"/>
      <c r="AO98" s="1160"/>
    </row>
    <row r="99" spans="2:41" s="113" customFormat="1" x14ac:dyDescent="0.2">
      <c r="B99" s="1073"/>
      <c r="C99" s="150"/>
      <c r="D99" s="50">
        <v>22</v>
      </c>
      <c r="E99" s="151" t="s">
        <v>804</v>
      </c>
      <c r="F99" s="923" t="s">
        <v>312</v>
      </c>
      <c r="G99" s="1055" t="s">
        <v>609</v>
      </c>
      <c r="H99" s="1118">
        <v>0</v>
      </c>
      <c r="I99" s="1118">
        <f t="shared" si="82"/>
        <v>0</v>
      </c>
      <c r="J99" s="1119">
        <f t="shared" si="83"/>
        <v>0</v>
      </c>
      <c r="K99" s="1119">
        <f t="shared" si="84"/>
        <v>0</v>
      </c>
      <c r="L99" s="1119">
        <f t="shared" si="85"/>
        <v>0</v>
      </c>
      <c r="M99" s="1170">
        <f t="shared" si="86"/>
        <v>0</v>
      </c>
      <c r="N99" s="92"/>
      <c r="O99" s="68">
        <f>+H99*tab!$F$33</f>
        <v>0</v>
      </c>
      <c r="P99" s="68">
        <f>+I99*tab!$F$33</f>
        <v>0</v>
      </c>
      <c r="Q99" s="68">
        <f>+J99*tab!$F$33</f>
        <v>0</v>
      </c>
      <c r="R99" s="68">
        <f>+K99*tab!$F$33</f>
        <v>0</v>
      </c>
      <c r="S99" s="68">
        <f>+L99*tab!$F$33</f>
        <v>0</v>
      </c>
      <c r="T99" s="92"/>
      <c r="U99" s="1618"/>
      <c r="V99" s="1499">
        <f>+H99*tab!$F$34</f>
        <v>0</v>
      </c>
      <c r="W99" s="1499">
        <f>+I99*tab!$F$34</f>
        <v>0</v>
      </c>
      <c r="X99" s="1499">
        <f>+J99*tab!$F$34</f>
        <v>0</v>
      </c>
      <c r="Y99" s="1499">
        <f>+K99*tab!$F$34</f>
        <v>0</v>
      </c>
      <c r="Z99" s="1499">
        <f>+L99*tab!$F$34</f>
        <v>0</v>
      </c>
      <c r="AA99" s="92"/>
      <c r="AB99" s="1179"/>
      <c r="AC99" s="1160"/>
      <c r="AD99" s="1160"/>
      <c r="AE99" s="1160"/>
      <c r="AF99" s="1160"/>
      <c r="AG99" s="1160"/>
      <c r="AH99" s="1160"/>
      <c r="AI99" s="1160"/>
      <c r="AJ99" s="1160"/>
      <c r="AK99" s="1160"/>
      <c r="AL99" s="1160"/>
      <c r="AM99" s="1160"/>
      <c r="AN99" s="1160"/>
      <c r="AO99" s="1160"/>
    </row>
    <row r="100" spans="2:41" s="113" customFormat="1" x14ac:dyDescent="0.2">
      <c r="B100" s="1073"/>
      <c r="C100" s="150"/>
      <c r="D100" s="50"/>
      <c r="E100" s="1076"/>
      <c r="F100" s="1669"/>
      <c r="G100" s="1055" t="s">
        <v>610</v>
      </c>
      <c r="H100" s="1118">
        <v>0</v>
      </c>
      <c r="I100" s="1118">
        <f t="shared" si="82"/>
        <v>0</v>
      </c>
      <c r="J100" s="1119">
        <f t="shared" si="83"/>
        <v>0</v>
      </c>
      <c r="K100" s="1119">
        <f t="shared" si="84"/>
        <v>0</v>
      </c>
      <c r="L100" s="1119">
        <f t="shared" si="85"/>
        <v>0</v>
      </c>
      <c r="M100" s="1170">
        <f t="shared" si="86"/>
        <v>0</v>
      </c>
      <c r="N100" s="92"/>
      <c r="O100" s="68">
        <f>+H100*tab!$F$33</f>
        <v>0</v>
      </c>
      <c r="P100" s="68">
        <f>+I100*tab!$F$33</f>
        <v>0</v>
      </c>
      <c r="Q100" s="68">
        <f>+J100*tab!$F$33</f>
        <v>0</v>
      </c>
      <c r="R100" s="68">
        <f>+K100*tab!$F$33</f>
        <v>0</v>
      </c>
      <c r="S100" s="68">
        <f>+L100*tab!$F$33</f>
        <v>0</v>
      </c>
      <c r="T100" s="92"/>
      <c r="U100" s="1618"/>
      <c r="V100" s="1499">
        <f>+H100*tab!$F$34</f>
        <v>0</v>
      </c>
      <c r="W100" s="1499">
        <f>+I100*tab!$F$34</f>
        <v>0</v>
      </c>
      <c r="X100" s="1499">
        <f>+J100*tab!$F$34</f>
        <v>0</v>
      </c>
      <c r="Y100" s="1499">
        <f>+K100*tab!$F$34</f>
        <v>0</v>
      </c>
      <c r="Z100" s="1499">
        <f>+L100*tab!$F$34</f>
        <v>0</v>
      </c>
      <c r="AA100" s="92"/>
      <c r="AB100" s="1179"/>
      <c r="AC100" s="1160"/>
      <c r="AD100" s="1160"/>
      <c r="AE100" s="1160"/>
      <c r="AF100" s="1160"/>
      <c r="AG100" s="1160"/>
      <c r="AH100" s="1160"/>
      <c r="AI100" s="1160"/>
      <c r="AJ100" s="1160"/>
      <c r="AK100" s="1160"/>
      <c r="AL100" s="1160"/>
      <c r="AM100" s="1160"/>
      <c r="AN100" s="1160"/>
      <c r="AO100" s="1160"/>
    </row>
    <row r="101" spans="2:41" s="113" customFormat="1" x14ac:dyDescent="0.2">
      <c r="B101" s="1073"/>
      <c r="C101" s="150"/>
      <c r="D101" s="50">
        <v>23</v>
      </c>
      <c r="E101" s="151" t="s">
        <v>805</v>
      </c>
      <c r="F101" s="923" t="s">
        <v>312</v>
      </c>
      <c r="G101" s="1055" t="s">
        <v>609</v>
      </c>
      <c r="H101" s="1118">
        <v>0</v>
      </c>
      <c r="I101" s="1118">
        <f t="shared" si="82"/>
        <v>0</v>
      </c>
      <c r="J101" s="1119">
        <f t="shared" si="83"/>
        <v>0</v>
      </c>
      <c r="K101" s="1119">
        <f t="shared" si="84"/>
        <v>0</v>
      </c>
      <c r="L101" s="1119">
        <f t="shared" si="85"/>
        <v>0</v>
      </c>
      <c r="M101" s="1170">
        <f t="shared" si="86"/>
        <v>0</v>
      </c>
      <c r="N101" s="92"/>
      <c r="O101" s="68">
        <f>+H101*tab!$F$33</f>
        <v>0</v>
      </c>
      <c r="P101" s="68">
        <f>+I101*tab!$F$33</f>
        <v>0</v>
      </c>
      <c r="Q101" s="68">
        <f>+J101*tab!$F$33</f>
        <v>0</v>
      </c>
      <c r="R101" s="68">
        <f>+K101*tab!$F$33</f>
        <v>0</v>
      </c>
      <c r="S101" s="68">
        <f>+L101*tab!$F$33</f>
        <v>0</v>
      </c>
      <c r="T101" s="92"/>
      <c r="U101" s="1618"/>
      <c r="V101" s="1499">
        <f>+H101*tab!$F$34</f>
        <v>0</v>
      </c>
      <c r="W101" s="1499">
        <f>+I101*tab!$F$34</f>
        <v>0</v>
      </c>
      <c r="X101" s="1499">
        <f>+J101*tab!$F$34</f>
        <v>0</v>
      </c>
      <c r="Y101" s="1499">
        <f>+K101*tab!$F$34</f>
        <v>0</v>
      </c>
      <c r="Z101" s="1499">
        <f>+L101*tab!$F$34</f>
        <v>0</v>
      </c>
      <c r="AA101" s="92"/>
      <c r="AB101" s="1179"/>
      <c r="AC101" s="1160"/>
      <c r="AD101" s="1160"/>
      <c r="AE101" s="1160"/>
      <c r="AF101" s="1160"/>
      <c r="AG101" s="1160"/>
      <c r="AH101" s="1160"/>
      <c r="AI101" s="1160"/>
      <c r="AJ101" s="1160"/>
      <c r="AK101" s="1160"/>
      <c r="AL101" s="1160"/>
      <c r="AM101" s="1160"/>
      <c r="AN101" s="1160"/>
      <c r="AO101" s="1160"/>
    </row>
    <row r="102" spans="2:41" s="113" customFormat="1" x14ac:dyDescent="0.2">
      <c r="B102" s="1073"/>
      <c r="C102" s="150"/>
      <c r="D102" s="50"/>
      <c r="E102" s="1076"/>
      <c r="F102" s="1669"/>
      <c r="G102" s="1055" t="s">
        <v>610</v>
      </c>
      <c r="H102" s="1118">
        <v>0</v>
      </c>
      <c r="I102" s="1118">
        <f t="shared" si="82"/>
        <v>0</v>
      </c>
      <c r="J102" s="1119">
        <f t="shared" si="83"/>
        <v>0</v>
      </c>
      <c r="K102" s="1119">
        <f t="shared" si="84"/>
        <v>0</v>
      </c>
      <c r="L102" s="1119">
        <f t="shared" si="85"/>
        <v>0</v>
      </c>
      <c r="M102" s="1170">
        <f t="shared" si="86"/>
        <v>0</v>
      </c>
      <c r="N102" s="92"/>
      <c r="O102" s="68">
        <f>+H102*tab!$F$33</f>
        <v>0</v>
      </c>
      <c r="P102" s="68">
        <f>+I102*tab!$F$33</f>
        <v>0</v>
      </c>
      <c r="Q102" s="68">
        <f>+J102*tab!$F$33</f>
        <v>0</v>
      </c>
      <c r="R102" s="68">
        <f>+K102*tab!$F$33</f>
        <v>0</v>
      </c>
      <c r="S102" s="68">
        <f>+L102*tab!$F$33</f>
        <v>0</v>
      </c>
      <c r="T102" s="92"/>
      <c r="U102" s="1618"/>
      <c r="V102" s="1499">
        <f>+H102*tab!$F$34</f>
        <v>0</v>
      </c>
      <c r="W102" s="1499">
        <f>+I102*tab!$F$34</f>
        <v>0</v>
      </c>
      <c r="X102" s="1499">
        <f>+J102*tab!$F$34</f>
        <v>0</v>
      </c>
      <c r="Y102" s="1499">
        <f>+K102*tab!$F$34</f>
        <v>0</v>
      </c>
      <c r="Z102" s="1499">
        <f>+L102*tab!$F$34</f>
        <v>0</v>
      </c>
      <c r="AA102" s="92"/>
      <c r="AB102" s="1179"/>
      <c r="AC102" s="1160"/>
      <c r="AD102" s="1160"/>
      <c r="AE102" s="1160"/>
      <c r="AF102" s="1160"/>
      <c r="AG102" s="1160"/>
      <c r="AH102" s="1160"/>
      <c r="AI102" s="1160"/>
      <c r="AJ102" s="1160"/>
      <c r="AK102" s="1160"/>
      <c r="AL102" s="1160"/>
      <c r="AM102" s="1160"/>
      <c r="AN102" s="1160"/>
      <c r="AO102" s="1160"/>
    </row>
    <row r="103" spans="2:41" s="113" customFormat="1" x14ac:dyDescent="0.2">
      <c r="B103" s="1073"/>
      <c r="C103" s="150"/>
      <c r="D103" s="50">
        <v>24</v>
      </c>
      <c r="E103" s="151" t="s">
        <v>507</v>
      </c>
      <c r="F103" s="923" t="s">
        <v>312</v>
      </c>
      <c r="G103" s="1055" t="s">
        <v>609</v>
      </c>
      <c r="H103" s="1118">
        <v>0</v>
      </c>
      <c r="I103" s="1118">
        <f t="shared" si="82"/>
        <v>0</v>
      </c>
      <c r="J103" s="1119">
        <f t="shared" si="83"/>
        <v>0</v>
      </c>
      <c r="K103" s="1119">
        <f t="shared" si="84"/>
        <v>0</v>
      </c>
      <c r="L103" s="1119">
        <f t="shared" si="85"/>
        <v>0</v>
      </c>
      <c r="M103" s="1170">
        <f t="shared" si="86"/>
        <v>0</v>
      </c>
      <c r="N103" s="92"/>
      <c r="O103" s="68">
        <f>+H103*tab!$F$33</f>
        <v>0</v>
      </c>
      <c r="P103" s="68">
        <f>+I103*tab!$F$33</f>
        <v>0</v>
      </c>
      <c r="Q103" s="68">
        <f>+J103*tab!$F$33</f>
        <v>0</v>
      </c>
      <c r="R103" s="68">
        <f>+K103*tab!$F$33</f>
        <v>0</v>
      </c>
      <c r="S103" s="68">
        <f>+L103*tab!$F$33</f>
        <v>0</v>
      </c>
      <c r="T103" s="92"/>
      <c r="U103" s="1618"/>
      <c r="V103" s="1499">
        <f>+H103*tab!$F$34</f>
        <v>0</v>
      </c>
      <c r="W103" s="1499">
        <f>+I103*tab!$F$34</f>
        <v>0</v>
      </c>
      <c r="X103" s="1499">
        <f>+J103*tab!$F$34</f>
        <v>0</v>
      </c>
      <c r="Y103" s="1499">
        <f>+K103*tab!$F$34</f>
        <v>0</v>
      </c>
      <c r="Z103" s="1499">
        <f>+L103*tab!$F$34</f>
        <v>0</v>
      </c>
      <c r="AA103" s="92"/>
      <c r="AB103" s="1179"/>
      <c r="AC103" s="1160"/>
      <c r="AD103" s="1160"/>
      <c r="AE103" s="1160"/>
      <c r="AF103" s="1160"/>
      <c r="AG103" s="1160"/>
      <c r="AH103" s="1160"/>
      <c r="AI103" s="1160"/>
      <c r="AJ103" s="1160"/>
      <c r="AK103" s="1160"/>
      <c r="AL103" s="1160"/>
      <c r="AM103" s="1160"/>
      <c r="AN103" s="1160"/>
      <c r="AO103" s="1160"/>
    </row>
    <row r="104" spans="2:41" s="113" customFormat="1" x14ac:dyDescent="0.2">
      <c r="B104" s="1073"/>
      <c r="C104" s="150"/>
      <c r="D104" s="50"/>
      <c r="E104" s="1076"/>
      <c r="F104" s="1669"/>
      <c r="G104" s="1055" t="s">
        <v>610</v>
      </c>
      <c r="H104" s="1118">
        <v>0</v>
      </c>
      <c r="I104" s="1118">
        <f t="shared" si="82"/>
        <v>0</v>
      </c>
      <c r="J104" s="1119">
        <f t="shared" si="83"/>
        <v>0</v>
      </c>
      <c r="K104" s="1119">
        <f t="shared" si="84"/>
        <v>0</v>
      </c>
      <c r="L104" s="1119">
        <f t="shared" si="85"/>
        <v>0</v>
      </c>
      <c r="M104" s="1170">
        <f t="shared" si="86"/>
        <v>0</v>
      </c>
      <c r="N104" s="92"/>
      <c r="O104" s="68">
        <f>+H104*tab!$F$33</f>
        <v>0</v>
      </c>
      <c r="P104" s="68">
        <f>+I104*tab!$F$33</f>
        <v>0</v>
      </c>
      <c r="Q104" s="68">
        <f>+J104*tab!$F$33</f>
        <v>0</v>
      </c>
      <c r="R104" s="68">
        <f>+K104*tab!$F$33</f>
        <v>0</v>
      </c>
      <c r="S104" s="68">
        <f>+L104*tab!$F$33</f>
        <v>0</v>
      </c>
      <c r="T104" s="92"/>
      <c r="U104" s="1618"/>
      <c r="V104" s="1499">
        <f>+H104*tab!$F$34</f>
        <v>0</v>
      </c>
      <c r="W104" s="1499">
        <f>+I104*tab!$F$34</f>
        <v>0</v>
      </c>
      <c r="X104" s="1499">
        <f>+J104*tab!$F$34</f>
        <v>0</v>
      </c>
      <c r="Y104" s="1499">
        <f>+K104*tab!$F$34</f>
        <v>0</v>
      </c>
      <c r="Z104" s="1499">
        <f>+L104*tab!$F$34</f>
        <v>0</v>
      </c>
      <c r="AA104" s="92"/>
      <c r="AB104" s="1179"/>
      <c r="AC104" s="1160"/>
      <c r="AD104" s="1160"/>
      <c r="AE104" s="1160"/>
      <c r="AF104" s="1160"/>
      <c r="AG104" s="1160"/>
      <c r="AH104" s="1160"/>
      <c r="AI104" s="1160"/>
      <c r="AJ104" s="1160"/>
      <c r="AK104" s="1160"/>
      <c r="AL104" s="1160"/>
      <c r="AM104" s="1160"/>
      <c r="AN104" s="1160"/>
      <c r="AO104" s="1160"/>
    </row>
    <row r="105" spans="2:41" s="113" customFormat="1" x14ac:dyDescent="0.2">
      <c r="B105" s="1073"/>
      <c r="C105" s="150"/>
      <c r="D105" s="50">
        <v>25</v>
      </c>
      <c r="E105" s="151" t="s">
        <v>508</v>
      </c>
      <c r="F105" s="923" t="s">
        <v>312</v>
      </c>
      <c r="G105" s="1055" t="s">
        <v>609</v>
      </c>
      <c r="H105" s="1118">
        <v>0</v>
      </c>
      <c r="I105" s="1118">
        <f t="shared" si="82"/>
        <v>0</v>
      </c>
      <c r="J105" s="1119">
        <f t="shared" si="83"/>
        <v>0</v>
      </c>
      <c r="K105" s="1119">
        <f t="shared" si="84"/>
        <v>0</v>
      </c>
      <c r="L105" s="1119">
        <f t="shared" si="85"/>
        <v>0</v>
      </c>
      <c r="M105" s="1170">
        <f t="shared" si="86"/>
        <v>0</v>
      </c>
      <c r="N105" s="92"/>
      <c r="O105" s="68">
        <f>+H105*tab!$F$33</f>
        <v>0</v>
      </c>
      <c r="P105" s="68">
        <f>+I105*tab!$F$33</f>
        <v>0</v>
      </c>
      <c r="Q105" s="68">
        <f>+J105*tab!$F$33</f>
        <v>0</v>
      </c>
      <c r="R105" s="68">
        <f>+K105*tab!$F$33</f>
        <v>0</v>
      </c>
      <c r="S105" s="68">
        <f>+L105*tab!$F$33</f>
        <v>0</v>
      </c>
      <c r="T105" s="92"/>
      <c r="U105" s="1618"/>
      <c r="V105" s="1499">
        <f>+H105*tab!$F$34</f>
        <v>0</v>
      </c>
      <c r="W105" s="1499">
        <f>+I105*tab!$F$34</f>
        <v>0</v>
      </c>
      <c r="X105" s="1499">
        <f>+J105*tab!$F$34</f>
        <v>0</v>
      </c>
      <c r="Y105" s="1499">
        <f>+K105*tab!$F$34</f>
        <v>0</v>
      </c>
      <c r="Z105" s="1499">
        <f>+L105*tab!$F$34</f>
        <v>0</v>
      </c>
      <c r="AA105" s="92"/>
      <c r="AB105" s="1179"/>
      <c r="AC105" s="1160"/>
      <c r="AD105" s="1160"/>
      <c r="AE105" s="1160"/>
      <c r="AF105" s="1160"/>
      <c r="AG105" s="1160"/>
      <c r="AH105" s="1160"/>
      <c r="AI105" s="1160"/>
      <c r="AJ105" s="1160"/>
      <c r="AK105" s="1160"/>
      <c r="AL105" s="1160"/>
      <c r="AM105" s="1160"/>
      <c r="AN105" s="1160"/>
      <c r="AO105" s="1160"/>
    </row>
    <row r="106" spans="2:41" s="113" customFormat="1" x14ac:dyDescent="0.2">
      <c r="B106" s="1073"/>
      <c r="C106" s="150"/>
      <c r="D106" s="50"/>
      <c r="E106" s="1076"/>
      <c r="F106" s="1669"/>
      <c r="G106" s="1055" t="s">
        <v>610</v>
      </c>
      <c r="H106" s="1118">
        <v>0</v>
      </c>
      <c r="I106" s="1118">
        <f t="shared" si="82"/>
        <v>0</v>
      </c>
      <c r="J106" s="1119">
        <f t="shared" si="83"/>
        <v>0</v>
      </c>
      <c r="K106" s="1119">
        <f t="shared" si="84"/>
        <v>0</v>
      </c>
      <c r="L106" s="1119">
        <f t="shared" si="85"/>
        <v>0</v>
      </c>
      <c r="M106" s="1170">
        <f t="shared" si="86"/>
        <v>0</v>
      </c>
      <c r="N106" s="92"/>
      <c r="O106" s="68">
        <f>+H106*tab!$F$33</f>
        <v>0</v>
      </c>
      <c r="P106" s="68">
        <f>+I106*tab!$F$33</f>
        <v>0</v>
      </c>
      <c r="Q106" s="68">
        <f>+J106*tab!$F$33</f>
        <v>0</v>
      </c>
      <c r="R106" s="68">
        <f>+K106*tab!$F$33</f>
        <v>0</v>
      </c>
      <c r="S106" s="68">
        <f>+L106*tab!$F$33</f>
        <v>0</v>
      </c>
      <c r="T106" s="92"/>
      <c r="U106" s="1618"/>
      <c r="V106" s="1499">
        <f>+H106*tab!$F$34</f>
        <v>0</v>
      </c>
      <c r="W106" s="1499">
        <f>+I106*tab!$F$34</f>
        <v>0</v>
      </c>
      <c r="X106" s="1499">
        <f>+J106*tab!$F$34</f>
        <v>0</v>
      </c>
      <c r="Y106" s="1499">
        <f>+K106*tab!$F$34</f>
        <v>0</v>
      </c>
      <c r="Z106" s="1499">
        <f>+L106*tab!$F$34</f>
        <v>0</v>
      </c>
      <c r="AA106" s="92"/>
      <c r="AB106" s="1179"/>
      <c r="AC106" s="1160"/>
      <c r="AD106" s="1160"/>
      <c r="AE106" s="1160"/>
      <c r="AF106" s="1160"/>
      <c r="AG106" s="1160"/>
      <c r="AH106" s="1160"/>
      <c r="AI106" s="1160"/>
      <c r="AJ106" s="1160"/>
      <c r="AK106" s="1160"/>
      <c r="AL106" s="1160"/>
      <c r="AM106" s="1160"/>
      <c r="AN106" s="1160"/>
      <c r="AO106" s="1160"/>
    </row>
    <row r="107" spans="2:41" s="113" customFormat="1" x14ac:dyDescent="0.2">
      <c r="B107" s="1073"/>
      <c r="C107" s="150"/>
      <c r="D107" s="50">
        <v>26</v>
      </c>
      <c r="E107" s="151" t="s">
        <v>509</v>
      </c>
      <c r="F107" s="923" t="s">
        <v>312</v>
      </c>
      <c r="G107" s="1055" t="s">
        <v>609</v>
      </c>
      <c r="H107" s="1118">
        <v>0</v>
      </c>
      <c r="I107" s="1118">
        <f t="shared" si="82"/>
        <v>0</v>
      </c>
      <c r="J107" s="1119">
        <f t="shared" si="83"/>
        <v>0</v>
      </c>
      <c r="K107" s="1119">
        <f t="shared" si="84"/>
        <v>0</v>
      </c>
      <c r="L107" s="1119">
        <f t="shared" si="85"/>
        <v>0</v>
      </c>
      <c r="M107" s="1170">
        <f t="shared" si="86"/>
        <v>0</v>
      </c>
      <c r="N107" s="92"/>
      <c r="O107" s="68">
        <f>+H107*tab!$F$33</f>
        <v>0</v>
      </c>
      <c r="P107" s="68">
        <f>+I107*tab!$F$33</f>
        <v>0</v>
      </c>
      <c r="Q107" s="68">
        <f>+J107*tab!$F$33</f>
        <v>0</v>
      </c>
      <c r="R107" s="68">
        <f>+K107*tab!$F$33</f>
        <v>0</v>
      </c>
      <c r="S107" s="68">
        <f>+L107*tab!$F$33</f>
        <v>0</v>
      </c>
      <c r="T107" s="92"/>
      <c r="U107" s="1618"/>
      <c r="V107" s="1499">
        <f>+H107*tab!$F$34</f>
        <v>0</v>
      </c>
      <c r="W107" s="1499">
        <f>+I107*tab!$F$34</f>
        <v>0</v>
      </c>
      <c r="X107" s="1499">
        <f>+J107*tab!$F$34</f>
        <v>0</v>
      </c>
      <c r="Y107" s="1499">
        <f>+K107*tab!$F$34</f>
        <v>0</v>
      </c>
      <c r="Z107" s="1499">
        <f>+L107*tab!$F$34</f>
        <v>0</v>
      </c>
      <c r="AA107" s="92"/>
      <c r="AB107" s="1179"/>
      <c r="AC107" s="1160"/>
      <c r="AD107" s="1160"/>
      <c r="AE107" s="1160"/>
      <c r="AF107" s="1160"/>
      <c r="AG107" s="1160"/>
      <c r="AH107" s="1160"/>
      <c r="AI107" s="1160"/>
      <c r="AJ107" s="1160"/>
      <c r="AK107" s="1160"/>
      <c r="AL107" s="1160"/>
      <c r="AM107" s="1160"/>
      <c r="AN107" s="1160"/>
      <c r="AO107" s="1160"/>
    </row>
    <row r="108" spans="2:41" s="113" customFormat="1" x14ac:dyDescent="0.2">
      <c r="B108" s="1073"/>
      <c r="C108" s="150"/>
      <c r="D108" s="50"/>
      <c r="E108" s="1076"/>
      <c r="F108" s="1669"/>
      <c r="G108" s="1055" t="s">
        <v>610</v>
      </c>
      <c r="H108" s="1118">
        <v>0</v>
      </c>
      <c r="I108" s="1118">
        <f t="shared" si="82"/>
        <v>0</v>
      </c>
      <c r="J108" s="1119">
        <f t="shared" si="83"/>
        <v>0</v>
      </c>
      <c r="K108" s="1119">
        <f t="shared" si="84"/>
        <v>0</v>
      </c>
      <c r="L108" s="1119">
        <f t="shared" si="85"/>
        <v>0</v>
      </c>
      <c r="M108" s="1170">
        <f t="shared" si="86"/>
        <v>0</v>
      </c>
      <c r="N108" s="92"/>
      <c r="O108" s="68">
        <f>+H108*tab!$F$33</f>
        <v>0</v>
      </c>
      <c r="P108" s="68">
        <f>+I108*tab!$F$33</f>
        <v>0</v>
      </c>
      <c r="Q108" s="68">
        <f>+J108*tab!$F$33</f>
        <v>0</v>
      </c>
      <c r="R108" s="68">
        <f>+K108*tab!$F$33</f>
        <v>0</v>
      </c>
      <c r="S108" s="68">
        <f>+L108*tab!$F$33</f>
        <v>0</v>
      </c>
      <c r="T108" s="92"/>
      <c r="U108" s="1618"/>
      <c r="V108" s="1499">
        <f>+H108*tab!$F$34</f>
        <v>0</v>
      </c>
      <c r="W108" s="1499">
        <f>+I108*tab!$F$34</f>
        <v>0</v>
      </c>
      <c r="X108" s="1499">
        <f>+J108*tab!$F$34</f>
        <v>0</v>
      </c>
      <c r="Y108" s="1499">
        <f>+K108*tab!$F$34</f>
        <v>0</v>
      </c>
      <c r="Z108" s="1499">
        <f>+L108*tab!$F$34</f>
        <v>0</v>
      </c>
      <c r="AA108" s="92"/>
      <c r="AB108" s="1179"/>
      <c r="AC108" s="1160"/>
      <c r="AD108" s="1160"/>
      <c r="AE108" s="1160"/>
      <c r="AF108" s="1160"/>
      <c r="AG108" s="1160"/>
      <c r="AH108" s="1160"/>
      <c r="AI108" s="1160"/>
      <c r="AJ108" s="1160"/>
      <c r="AK108" s="1160"/>
      <c r="AL108" s="1160"/>
      <c r="AM108" s="1160"/>
      <c r="AN108" s="1160"/>
      <c r="AO108" s="1160"/>
    </row>
    <row r="109" spans="2:41" s="113" customFormat="1" x14ac:dyDescent="0.2">
      <c r="B109" s="1073"/>
      <c r="C109" s="150"/>
      <c r="D109" s="50">
        <v>27</v>
      </c>
      <c r="E109" s="151" t="s">
        <v>436</v>
      </c>
      <c r="F109" s="923" t="s">
        <v>312</v>
      </c>
      <c r="G109" s="1055" t="s">
        <v>609</v>
      </c>
      <c r="H109" s="1118">
        <v>0</v>
      </c>
      <c r="I109" s="1118">
        <f t="shared" si="82"/>
        <v>0</v>
      </c>
      <c r="J109" s="1119">
        <f t="shared" si="83"/>
        <v>0</v>
      </c>
      <c r="K109" s="1119">
        <f t="shared" si="84"/>
        <v>0</v>
      </c>
      <c r="L109" s="1119">
        <f t="shared" si="85"/>
        <v>0</v>
      </c>
      <c r="M109" s="1170">
        <f t="shared" si="86"/>
        <v>0</v>
      </c>
      <c r="N109" s="92"/>
      <c r="O109" s="68">
        <f>+H109*tab!$F$33</f>
        <v>0</v>
      </c>
      <c r="P109" s="68">
        <f>+I109*tab!$F$33</f>
        <v>0</v>
      </c>
      <c r="Q109" s="68">
        <f>+J109*tab!$F$33</f>
        <v>0</v>
      </c>
      <c r="R109" s="68">
        <f>+K109*tab!$F$33</f>
        <v>0</v>
      </c>
      <c r="S109" s="68">
        <f>+L109*tab!$F$33</f>
        <v>0</v>
      </c>
      <c r="T109" s="92"/>
      <c r="U109" s="1618"/>
      <c r="V109" s="1499">
        <f>+H109*tab!$F$34</f>
        <v>0</v>
      </c>
      <c r="W109" s="1499">
        <f>+I109*tab!$F$34</f>
        <v>0</v>
      </c>
      <c r="X109" s="1499">
        <f>+J109*tab!$F$34</f>
        <v>0</v>
      </c>
      <c r="Y109" s="1499">
        <f>+K109*tab!$F$34</f>
        <v>0</v>
      </c>
      <c r="Z109" s="1499">
        <f>+L109*tab!$F$34</f>
        <v>0</v>
      </c>
      <c r="AA109" s="92"/>
      <c r="AB109" s="1179"/>
      <c r="AC109" s="1160"/>
      <c r="AD109" s="1160"/>
      <c r="AE109" s="1160"/>
      <c r="AF109" s="1160"/>
      <c r="AG109" s="1160"/>
      <c r="AH109" s="1160"/>
      <c r="AI109" s="1160"/>
      <c r="AJ109" s="1160"/>
      <c r="AK109" s="1160"/>
      <c r="AL109" s="1160"/>
      <c r="AM109" s="1160"/>
      <c r="AN109" s="1160"/>
      <c r="AO109" s="1160"/>
    </row>
    <row r="110" spans="2:41" s="113" customFormat="1" x14ac:dyDescent="0.2">
      <c r="B110" s="1073"/>
      <c r="C110" s="150"/>
      <c r="D110" s="50"/>
      <c r="E110" s="1076"/>
      <c r="F110" s="1669"/>
      <c r="G110" s="1055" t="s">
        <v>610</v>
      </c>
      <c r="H110" s="1118">
        <v>0</v>
      </c>
      <c r="I110" s="1118">
        <f t="shared" si="82"/>
        <v>0</v>
      </c>
      <c r="J110" s="1119">
        <f t="shared" si="83"/>
        <v>0</v>
      </c>
      <c r="K110" s="1119">
        <f t="shared" si="84"/>
        <v>0</v>
      </c>
      <c r="L110" s="1119">
        <f t="shared" si="85"/>
        <v>0</v>
      </c>
      <c r="M110" s="1170">
        <f t="shared" si="86"/>
        <v>0</v>
      </c>
      <c r="N110" s="92"/>
      <c r="O110" s="68">
        <f>+H110*tab!$F$33</f>
        <v>0</v>
      </c>
      <c r="P110" s="68">
        <f>+I110*tab!$F$33</f>
        <v>0</v>
      </c>
      <c r="Q110" s="68">
        <f>+J110*tab!$F$33</f>
        <v>0</v>
      </c>
      <c r="R110" s="68">
        <f>+K110*tab!$F$33</f>
        <v>0</v>
      </c>
      <c r="S110" s="68">
        <f>+L110*tab!$F$33</f>
        <v>0</v>
      </c>
      <c r="T110" s="92"/>
      <c r="U110" s="1618"/>
      <c r="V110" s="1499">
        <f>+H110*tab!$F$34</f>
        <v>0</v>
      </c>
      <c r="W110" s="1499">
        <f>+I110*tab!$F$34</f>
        <v>0</v>
      </c>
      <c r="X110" s="1499">
        <f>+J110*tab!$F$34</f>
        <v>0</v>
      </c>
      <c r="Y110" s="1499">
        <f>+K110*tab!$F$34</f>
        <v>0</v>
      </c>
      <c r="Z110" s="1499">
        <f>+L110*tab!$F$34</f>
        <v>0</v>
      </c>
      <c r="AA110" s="92"/>
      <c r="AB110" s="1179"/>
      <c r="AC110" s="1160"/>
      <c r="AD110" s="1160"/>
      <c r="AE110" s="1160"/>
      <c r="AF110" s="1160"/>
      <c r="AG110" s="1160"/>
      <c r="AH110" s="1160"/>
      <c r="AI110" s="1160"/>
      <c r="AJ110" s="1160"/>
      <c r="AK110" s="1160"/>
      <c r="AL110" s="1160"/>
      <c r="AM110" s="1160"/>
      <c r="AN110" s="1160"/>
      <c r="AO110" s="1160"/>
    </row>
    <row r="111" spans="2:41" s="113" customFormat="1" x14ac:dyDescent="0.2">
      <c r="B111" s="1073"/>
      <c r="C111" s="150"/>
      <c r="D111" s="50">
        <v>28</v>
      </c>
      <c r="E111" s="151" t="s">
        <v>437</v>
      </c>
      <c r="F111" s="923" t="s">
        <v>312</v>
      </c>
      <c r="G111" s="1055" t="s">
        <v>609</v>
      </c>
      <c r="H111" s="1118">
        <v>0</v>
      </c>
      <c r="I111" s="1118">
        <f t="shared" si="82"/>
        <v>0</v>
      </c>
      <c r="J111" s="1119">
        <f t="shared" si="83"/>
        <v>0</v>
      </c>
      <c r="K111" s="1119">
        <f t="shared" si="84"/>
        <v>0</v>
      </c>
      <c r="L111" s="1119">
        <f t="shared" si="85"/>
        <v>0</v>
      </c>
      <c r="M111" s="1170">
        <f t="shared" si="86"/>
        <v>0</v>
      </c>
      <c r="N111" s="92"/>
      <c r="O111" s="68">
        <f>+H111*tab!$F$33</f>
        <v>0</v>
      </c>
      <c r="P111" s="68">
        <f>+I111*tab!$F$33</f>
        <v>0</v>
      </c>
      <c r="Q111" s="68">
        <f>+J111*tab!$F$33</f>
        <v>0</v>
      </c>
      <c r="R111" s="68">
        <f>+K111*tab!$F$33</f>
        <v>0</v>
      </c>
      <c r="S111" s="68">
        <f>+L111*tab!$F$33</f>
        <v>0</v>
      </c>
      <c r="T111" s="92"/>
      <c r="U111" s="1618"/>
      <c r="V111" s="1499">
        <f>+H111*tab!$F$34</f>
        <v>0</v>
      </c>
      <c r="W111" s="1499">
        <f>+I111*tab!$F$34</f>
        <v>0</v>
      </c>
      <c r="X111" s="1499">
        <f>+J111*tab!$F$34</f>
        <v>0</v>
      </c>
      <c r="Y111" s="1499">
        <f>+K111*tab!$F$34</f>
        <v>0</v>
      </c>
      <c r="Z111" s="1499">
        <f>+L111*tab!$F$34</f>
        <v>0</v>
      </c>
      <c r="AA111" s="92"/>
      <c r="AB111" s="1179"/>
      <c r="AC111" s="1160"/>
      <c r="AD111" s="1160"/>
      <c r="AE111" s="1160"/>
      <c r="AF111" s="1160"/>
      <c r="AG111" s="1160"/>
      <c r="AH111" s="1160"/>
      <c r="AI111" s="1160"/>
      <c r="AJ111" s="1160"/>
      <c r="AK111" s="1160"/>
      <c r="AL111" s="1160"/>
      <c r="AM111" s="1160"/>
      <c r="AN111" s="1160"/>
      <c r="AO111" s="1160"/>
    </row>
    <row r="112" spans="2:41" s="113" customFormat="1" x14ac:dyDescent="0.2">
      <c r="B112" s="1073"/>
      <c r="C112" s="150"/>
      <c r="D112" s="50"/>
      <c r="E112" s="1076"/>
      <c r="F112" s="1669"/>
      <c r="G112" s="1055" t="s">
        <v>610</v>
      </c>
      <c r="H112" s="1118">
        <v>0</v>
      </c>
      <c r="I112" s="1118">
        <f t="shared" si="82"/>
        <v>0</v>
      </c>
      <c r="J112" s="1119">
        <f t="shared" si="83"/>
        <v>0</v>
      </c>
      <c r="K112" s="1119">
        <f t="shared" si="84"/>
        <v>0</v>
      </c>
      <c r="L112" s="1119">
        <f t="shared" si="85"/>
        <v>0</v>
      </c>
      <c r="M112" s="1170">
        <f t="shared" si="86"/>
        <v>0</v>
      </c>
      <c r="N112" s="92"/>
      <c r="O112" s="68">
        <f>+H112*tab!$F$33</f>
        <v>0</v>
      </c>
      <c r="P112" s="68">
        <f>+I112*tab!$F$33</f>
        <v>0</v>
      </c>
      <c r="Q112" s="68">
        <f>+J112*tab!$F$33</f>
        <v>0</v>
      </c>
      <c r="R112" s="68">
        <f>+K112*tab!$F$33</f>
        <v>0</v>
      </c>
      <c r="S112" s="68">
        <f>+L112*tab!$F$33</f>
        <v>0</v>
      </c>
      <c r="T112" s="92"/>
      <c r="U112" s="1618"/>
      <c r="V112" s="1499">
        <f>+H112*tab!$F$34</f>
        <v>0</v>
      </c>
      <c r="W112" s="1499">
        <f>+I112*tab!$F$34</f>
        <v>0</v>
      </c>
      <c r="X112" s="1499">
        <f>+J112*tab!$F$34</f>
        <v>0</v>
      </c>
      <c r="Y112" s="1499">
        <f>+K112*tab!$F$34</f>
        <v>0</v>
      </c>
      <c r="Z112" s="1499">
        <f>+L112*tab!$F$34</f>
        <v>0</v>
      </c>
      <c r="AA112" s="92"/>
      <c r="AB112" s="1179"/>
      <c r="AC112" s="1160"/>
      <c r="AD112" s="1160"/>
      <c r="AE112" s="1160"/>
      <c r="AF112" s="1160"/>
      <c r="AG112" s="1160"/>
      <c r="AH112" s="1160"/>
      <c r="AI112" s="1160"/>
      <c r="AJ112" s="1160"/>
      <c r="AK112" s="1160"/>
      <c r="AL112" s="1160"/>
      <c r="AM112" s="1160"/>
      <c r="AN112" s="1160"/>
      <c r="AO112" s="1160"/>
    </row>
    <row r="113" spans="2:41" s="113" customFormat="1" x14ac:dyDescent="0.2">
      <c r="B113" s="1073"/>
      <c r="C113" s="150"/>
      <c r="D113" s="50">
        <v>29</v>
      </c>
      <c r="E113" s="151" t="s">
        <v>438</v>
      </c>
      <c r="F113" s="923" t="s">
        <v>312</v>
      </c>
      <c r="G113" s="1055" t="s">
        <v>609</v>
      </c>
      <c r="H113" s="1118">
        <v>0</v>
      </c>
      <c r="I113" s="1118">
        <f t="shared" si="82"/>
        <v>0</v>
      </c>
      <c r="J113" s="1119">
        <f t="shared" si="83"/>
        <v>0</v>
      </c>
      <c r="K113" s="1119">
        <f t="shared" si="84"/>
        <v>0</v>
      </c>
      <c r="L113" s="1119">
        <f t="shared" si="85"/>
        <v>0</v>
      </c>
      <c r="M113" s="1170">
        <f t="shared" si="86"/>
        <v>0</v>
      </c>
      <c r="N113" s="92"/>
      <c r="O113" s="68">
        <f>+H113*tab!$F$33</f>
        <v>0</v>
      </c>
      <c r="P113" s="68">
        <f>+I113*tab!$F$33</f>
        <v>0</v>
      </c>
      <c r="Q113" s="68">
        <f>+J113*tab!$F$33</f>
        <v>0</v>
      </c>
      <c r="R113" s="68">
        <f>+K113*tab!$F$33</f>
        <v>0</v>
      </c>
      <c r="S113" s="68">
        <f>+L113*tab!$F$33</f>
        <v>0</v>
      </c>
      <c r="T113" s="92"/>
      <c r="U113" s="1618"/>
      <c r="V113" s="1499">
        <f>+H113*tab!$F$34</f>
        <v>0</v>
      </c>
      <c r="W113" s="1499">
        <f>+I113*tab!$F$34</f>
        <v>0</v>
      </c>
      <c r="X113" s="1499">
        <f>+J113*tab!$F$34</f>
        <v>0</v>
      </c>
      <c r="Y113" s="1499">
        <f>+K113*tab!$F$34</f>
        <v>0</v>
      </c>
      <c r="Z113" s="1499">
        <f>+L113*tab!$F$34</f>
        <v>0</v>
      </c>
      <c r="AA113" s="92"/>
      <c r="AB113" s="1179"/>
      <c r="AC113" s="1160"/>
      <c r="AD113" s="1160"/>
      <c r="AE113" s="1160"/>
      <c r="AF113" s="1160"/>
      <c r="AG113" s="1160"/>
      <c r="AH113" s="1160"/>
      <c r="AI113" s="1160"/>
      <c r="AJ113" s="1160"/>
      <c r="AK113" s="1160"/>
      <c r="AL113" s="1160"/>
      <c r="AM113" s="1160"/>
      <c r="AN113" s="1160"/>
      <c r="AO113" s="1160"/>
    </row>
    <row r="114" spans="2:41" s="113" customFormat="1" x14ac:dyDescent="0.2">
      <c r="B114" s="1073"/>
      <c r="C114" s="150"/>
      <c r="D114" s="50"/>
      <c r="E114" s="1076"/>
      <c r="F114" s="1669"/>
      <c r="G114" s="1055" t="s">
        <v>610</v>
      </c>
      <c r="H114" s="1118">
        <v>0</v>
      </c>
      <c r="I114" s="1118">
        <f t="shared" si="82"/>
        <v>0</v>
      </c>
      <c r="J114" s="1119">
        <f t="shared" si="83"/>
        <v>0</v>
      </c>
      <c r="K114" s="1119">
        <f t="shared" si="84"/>
        <v>0</v>
      </c>
      <c r="L114" s="1119">
        <f t="shared" si="85"/>
        <v>0</v>
      </c>
      <c r="M114" s="1170">
        <f t="shared" si="86"/>
        <v>0</v>
      </c>
      <c r="N114" s="92"/>
      <c r="O114" s="68">
        <f>+H114*tab!$F$33</f>
        <v>0</v>
      </c>
      <c r="P114" s="68">
        <f>+I114*tab!$F$33</f>
        <v>0</v>
      </c>
      <c r="Q114" s="68">
        <f>+J114*tab!$F$33</f>
        <v>0</v>
      </c>
      <c r="R114" s="68">
        <f>+K114*tab!$F$33</f>
        <v>0</v>
      </c>
      <c r="S114" s="68">
        <f>+L114*tab!$F$33</f>
        <v>0</v>
      </c>
      <c r="T114" s="92"/>
      <c r="U114" s="1618"/>
      <c r="V114" s="1499">
        <f>+H114*tab!$F$34</f>
        <v>0</v>
      </c>
      <c r="W114" s="1499">
        <f>+I114*tab!$F$34</f>
        <v>0</v>
      </c>
      <c r="X114" s="1499">
        <f>+J114*tab!$F$34</f>
        <v>0</v>
      </c>
      <c r="Y114" s="1499">
        <f>+K114*tab!$F$34</f>
        <v>0</v>
      </c>
      <c r="Z114" s="1499">
        <f>+L114*tab!$F$34</f>
        <v>0</v>
      </c>
      <c r="AA114" s="92"/>
      <c r="AB114" s="1179"/>
      <c r="AC114" s="1160"/>
      <c r="AD114" s="1160"/>
      <c r="AE114" s="1160"/>
      <c r="AF114" s="1160"/>
      <c r="AG114" s="1160"/>
      <c r="AH114" s="1160"/>
      <c r="AI114" s="1160"/>
      <c r="AJ114" s="1160"/>
      <c r="AK114" s="1160"/>
      <c r="AL114" s="1160"/>
      <c r="AM114" s="1160"/>
      <c r="AN114" s="1160"/>
      <c r="AO114" s="1160"/>
    </row>
    <row r="115" spans="2:41" s="113" customFormat="1" x14ac:dyDescent="0.2">
      <c r="B115" s="1073"/>
      <c r="C115" s="150"/>
      <c r="D115" s="50">
        <v>30</v>
      </c>
      <c r="E115" s="1091" t="s">
        <v>439</v>
      </c>
      <c r="F115" s="1092" t="s">
        <v>312</v>
      </c>
      <c r="G115" s="1055" t="s">
        <v>609</v>
      </c>
      <c r="H115" s="1120">
        <v>0</v>
      </c>
      <c r="I115" s="1120">
        <f t="shared" si="82"/>
        <v>0</v>
      </c>
      <c r="J115" s="1121">
        <f t="shared" si="83"/>
        <v>0</v>
      </c>
      <c r="K115" s="1121">
        <f t="shared" si="84"/>
        <v>0</v>
      </c>
      <c r="L115" s="1121">
        <f t="shared" si="85"/>
        <v>0</v>
      </c>
      <c r="M115" s="1171">
        <f t="shared" si="86"/>
        <v>0</v>
      </c>
      <c r="N115" s="515"/>
      <c r="O115" s="68">
        <f>+H115*tab!$F$33</f>
        <v>0</v>
      </c>
      <c r="P115" s="68">
        <f>+I115*tab!$F$33</f>
        <v>0</v>
      </c>
      <c r="Q115" s="68">
        <f>+J115*tab!$F$33</f>
        <v>0</v>
      </c>
      <c r="R115" s="68">
        <f>+K115*tab!$F$33</f>
        <v>0</v>
      </c>
      <c r="S115" s="68">
        <f>+L115*tab!$F$33</f>
        <v>0</v>
      </c>
      <c r="T115" s="515"/>
      <c r="U115" s="1618"/>
      <c r="V115" s="1499">
        <f>+H115*tab!$F$34</f>
        <v>0</v>
      </c>
      <c r="W115" s="1499">
        <f>+I115*tab!$F$34</f>
        <v>0</v>
      </c>
      <c r="X115" s="1499">
        <f>+J115*tab!$F$34</f>
        <v>0</v>
      </c>
      <c r="Y115" s="1499">
        <f>+K115*tab!$F$34</f>
        <v>0</v>
      </c>
      <c r="Z115" s="1499">
        <f>+L115*tab!$F$34</f>
        <v>0</v>
      </c>
      <c r="AA115" s="515"/>
      <c r="AB115" s="1179"/>
      <c r="AC115" s="1160"/>
      <c r="AD115" s="1160"/>
      <c r="AE115" s="1160"/>
      <c r="AF115" s="1160"/>
      <c r="AG115" s="1160"/>
      <c r="AH115" s="1160"/>
      <c r="AI115" s="1160"/>
      <c r="AJ115" s="1160"/>
      <c r="AK115" s="1160"/>
      <c r="AL115" s="1160"/>
      <c r="AM115" s="1160"/>
      <c r="AN115" s="1160"/>
      <c r="AO115" s="1160"/>
    </row>
    <row r="116" spans="2:41" s="113" customFormat="1" x14ac:dyDescent="0.2">
      <c r="B116" s="1073"/>
      <c r="C116" s="1089"/>
      <c r="D116" s="1090"/>
      <c r="E116" s="1076"/>
      <c r="F116" s="1077"/>
      <c r="G116" s="1094" t="s">
        <v>610</v>
      </c>
      <c r="H116" s="1118">
        <v>0</v>
      </c>
      <c r="I116" s="1118">
        <f t="shared" si="82"/>
        <v>0</v>
      </c>
      <c r="J116" s="1119">
        <f t="shared" si="83"/>
        <v>0</v>
      </c>
      <c r="K116" s="1119">
        <f t="shared" si="84"/>
        <v>0</v>
      </c>
      <c r="L116" s="1119">
        <f t="shared" si="85"/>
        <v>0</v>
      </c>
      <c r="M116" s="1170">
        <f t="shared" si="86"/>
        <v>0</v>
      </c>
      <c r="N116" s="92"/>
      <c r="O116" s="68">
        <f>+H116*tab!$F$33</f>
        <v>0</v>
      </c>
      <c r="P116" s="68">
        <f>+I116*tab!$F$33</f>
        <v>0</v>
      </c>
      <c r="Q116" s="68">
        <f>+J116*tab!$F$33</f>
        <v>0</v>
      </c>
      <c r="R116" s="68">
        <f>+K116*tab!$F$33</f>
        <v>0</v>
      </c>
      <c r="S116" s="68">
        <f>+L116*tab!$F$33</f>
        <v>0</v>
      </c>
      <c r="T116" s="92"/>
      <c r="U116" s="1618"/>
      <c r="V116" s="1499">
        <f>+H116*tab!$F$34</f>
        <v>0</v>
      </c>
      <c r="W116" s="1499">
        <f>+I116*tab!$F$34</f>
        <v>0</v>
      </c>
      <c r="X116" s="1499">
        <f>+J116*tab!$F$34</f>
        <v>0</v>
      </c>
      <c r="Y116" s="1499">
        <f>+K116*tab!$F$34</f>
        <v>0</v>
      </c>
      <c r="Z116" s="1499">
        <f>+L116*tab!$F$34</f>
        <v>0</v>
      </c>
      <c r="AA116" s="92"/>
      <c r="AB116" s="1179"/>
      <c r="AC116" s="1160"/>
      <c r="AD116" s="1160"/>
      <c r="AE116" s="1160"/>
      <c r="AF116" s="1160"/>
      <c r="AG116" s="1160"/>
      <c r="AH116" s="1160"/>
      <c r="AI116" s="1160"/>
      <c r="AJ116" s="1160"/>
      <c r="AK116" s="1160"/>
      <c r="AL116" s="1160"/>
      <c r="AM116" s="1160"/>
      <c r="AN116" s="1160"/>
      <c r="AO116" s="1160"/>
    </row>
    <row r="117" spans="2:41" s="113" customFormat="1" x14ac:dyDescent="0.2">
      <c r="B117" s="1073"/>
      <c r="D117" s="111">
        <v>31</v>
      </c>
      <c r="E117" s="151" t="s">
        <v>665</v>
      </c>
      <c r="F117" s="1093" t="s">
        <v>312</v>
      </c>
      <c r="G117" s="1094" t="s">
        <v>609</v>
      </c>
      <c r="H117" s="1118">
        <v>0</v>
      </c>
      <c r="I117" s="1118">
        <f t="shared" ref="I117:I156" si="87">H117</f>
        <v>0</v>
      </c>
      <c r="J117" s="1119">
        <f t="shared" ref="J117:J156" si="88">I117</f>
        <v>0</v>
      </c>
      <c r="K117" s="1119">
        <f t="shared" ref="K117:K156" si="89">J117</f>
        <v>0</v>
      </c>
      <c r="L117" s="1119">
        <f t="shared" ref="L117:L156" si="90">K117</f>
        <v>0</v>
      </c>
      <c r="M117" s="1170"/>
      <c r="N117" s="92"/>
      <c r="O117" s="68">
        <f>+H117*tab!$F$33</f>
        <v>0</v>
      </c>
      <c r="P117" s="68">
        <f>+I117*tab!$F$33</f>
        <v>0</v>
      </c>
      <c r="Q117" s="68">
        <f>+J117*tab!$F$33</f>
        <v>0</v>
      </c>
      <c r="R117" s="68">
        <f>+K117*tab!$F$33</f>
        <v>0</v>
      </c>
      <c r="S117" s="68">
        <f>+L117*tab!$F$33</f>
        <v>0</v>
      </c>
      <c r="T117" s="92"/>
      <c r="U117" s="1618"/>
      <c r="V117" s="1499">
        <f>+H117*tab!$F$34</f>
        <v>0</v>
      </c>
      <c r="W117" s="1499">
        <f>+I117*tab!$F$34</f>
        <v>0</v>
      </c>
      <c r="X117" s="1499">
        <f>+J117*tab!$F$34</f>
        <v>0</v>
      </c>
      <c r="Y117" s="1499">
        <f>+K117*tab!$F$34</f>
        <v>0</v>
      </c>
      <c r="Z117" s="1499">
        <f>+L117*tab!$F$34</f>
        <v>0</v>
      </c>
      <c r="AA117" s="92"/>
      <c r="AB117" s="1179"/>
      <c r="AC117" s="1160"/>
      <c r="AD117" s="1160"/>
      <c r="AE117" s="1160"/>
      <c r="AF117" s="1160"/>
      <c r="AG117" s="1160"/>
      <c r="AH117" s="1160"/>
      <c r="AI117" s="1160"/>
      <c r="AJ117" s="1160"/>
      <c r="AK117" s="1160"/>
      <c r="AL117" s="1160"/>
      <c r="AM117" s="1160"/>
      <c r="AN117" s="1160"/>
      <c r="AO117" s="1160"/>
    </row>
    <row r="118" spans="2:41" s="113" customFormat="1" x14ac:dyDescent="0.2">
      <c r="B118" s="1073"/>
      <c r="D118" s="111"/>
      <c r="E118" s="1076"/>
      <c r="F118" s="1077"/>
      <c r="G118" s="1094" t="s">
        <v>610</v>
      </c>
      <c r="H118" s="1118">
        <v>0</v>
      </c>
      <c r="I118" s="1118">
        <f t="shared" si="87"/>
        <v>0</v>
      </c>
      <c r="J118" s="1119">
        <f t="shared" si="88"/>
        <v>0</v>
      </c>
      <c r="K118" s="1119">
        <f t="shared" si="89"/>
        <v>0</v>
      </c>
      <c r="L118" s="1119">
        <f t="shared" si="90"/>
        <v>0</v>
      </c>
      <c r="M118" s="1170"/>
      <c r="N118" s="92"/>
      <c r="O118" s="68">
        <f>+H118*tab!$F$33</f>
        <v>0</v>
      </c>
      <c r="P118" s="68">
        <f>+I118*tab!$F$33</f>
        <v>0</v>
      </c>
      <c r="Q118" s="68">
        <f>+J118*tab!$F$33</f>
        <v>0</v>
      </c>
      <c r="R118" s="68">
        <f>+K118*tab!$F$33</f>
        <v>0</v>
      </c>
      <c r="S118" s="68">
        <f>+L118*tab!$F$33</f>
        <v>0</v>
      </c>
      <c r="T118" s="92"/>
      <c r="U118" s="1618"/>
      <c r="V118" s="1499">
        <f>+H118*tab!$F$34</f>
        <v>0</v>
      </c>
      <c r="W118" s="1499">
        <f>+I118*tab!$F$34</f>
        <v>0</v>
      </c>
      <c r="X118" s="1499">
        <f>+J118*tab!$F$34</f>
        <v>0</v>
      </c>
      <c r="Y118" s="1499">
        <f>+K118*tab!$F$34</f>
        <v>0</v>
      </c>
      <c r="Z118" s="1499">
        <f>+L118*tab!$F$34</f>
        <v>0</v>
      </c>
      <c r="AA118" s="92"/>
      <c r="AB118" s="1179"/>
      <c r="AC118" s="1160"/>
      <c r="AD118" s="1160"/>
      <c r="AE118" s="1160"/>
      <c r="AF118" s="1160"/>
      <c r="AG118" s="1160"/>
      <c r="AH118" s="1160"/>
      <c r="AI118" s="1160"/>
      <c r="AJ118" s="1160"/>
      <c r="AK118" s="1160"/>
      <c r="AL118" s="1160"/>
      <c r="AM118" s="1160"/>
      <c r="AN118" s="1160"/>
      <c r="AO118" s="1160"/>
    </row>
    <row r="119" spans="2:41" s="113" customFormat="1" x14ac:dyDescent="0.2">
      <c r="B119" s="1073"/>
      <c r="D119" s="111">
        <v>32</v>
      </c>
      <c r="E119" s="151" t="s">
        <v>666</v>
      </c>
      <c r="F119" s="1093" t="s">
        <v>312</v>
      </c>
      <c r="G119" s="1094" t="s">
        <v>609</v>
      </c>
      <c r="H119" s="1118">
        <v>0</v>
      </c>
      <c r="I119" s="1118">
        <f t="shared" si="87"/>
        <v>0</v>
      </c>
      <c r="J119" s="1119">
        <f t="shared" si="88"/>
        <v>0</v>
      </c>
      <c r="K119" s="1119">
        <f t="shared" si="89"/>
        <v>0</v>
      </c>
      <c r="L119" s="1119">
        <f t="shared" si="90"/>
        <v>0</v>
      </c>
      <c r="M119" s="1170"/>
      <c r="N119" s="92"/>
      <c r="O119" s="68">
        <f>+H119*tab!$F$33</f>
        <v>0</v>
      </c>
      <c r="P119" s="68">
        <f>+I119*tab!$F$33</f>
        <v>0</v>
      </c>
      <c r="Q119" s="68">
        <f>+J119*tab!$F$33</f>
        <v>0</v>
      </c>
      <c r="R119" s="68">
        <f>+K119*tab!$F$33</f>
        <v>0</v>
      </c>
      <c r="S119" s="68">
        <f>+L119*tab!$F$33</f>
        <v>0</v>
      </c>
      <c r="T119" s="92"/>
      <c r="U119" s="1618"/>
      <c r="V119" s="1499">
        <f>+H119*tab!$F$34</f>
        <v>0</v>
      </c>
      <c r="W119" s="1499">
        <f>+I119*tab!$F$34</f>
        <v>0</v>
      </c>
      <c r="X119" s="1499">
        <f>+J119*tab!$F$34</f>
        <v>0</v>
      </c>
      <c r="Y119" s="1499">
        <f>+K119*tab!$F$34</f>
        <v>0</v>
      </c>
      <c r="Z119" s="1499">
        <f>+L119*tab!$F$34</f>
        <v>0</v>
      </c>
      <c r="AA119" s="92"/>
      <c r="AB119" s="1179"/>
      <c r="AC119" s="1160"/>
      <c r="AD119" s="1160"/>
      <c r="AE119" s="1160"/>
      <c r="AF119" s="1160"/>
      <c r="AG119" s="1160"/>
      <c r="AH119" s="1160"/>
      <c r="AI119" s="1160"/>
      <c r="AJ119" s="1160"/>
      <c r="AK119" s="1160"/>
      <c r="AL119" s="1160"/>
      <c r="AM119" s="1160"/>
      <c r="AN119" s="1160"/>
      <c r="AO119" s="1160"/>
    </row>
    <row r="120" spans="2:41" s="113" customFormat="1" x14ac:dyDescent="0.2">
      <c r="B120" s="1073"/>
      <c r="D120" s="111"/>
      <c r="E120" s="1076"/>
      <c r="F120" s="1077"/>
      <c r="G120" s="1094" t="s">
        <v>610</v>
      </c>
      <c r="H120" s="1118">
        <v>0</v>
      </c>
      <c r="I120" s="1118">
        <f t="shared" si="87"/>
        <v>0</v>
      </c>
      <c r="J120" s="1119">
        <f t="shared" si="88"/>
        <v>0</v>
      </c>
      <c r="K120" s="1119">
        <f t="shared" si="89"/>
        <v>0</v>
      </c>
      <c r="L120" s="1119">
        <f t="shared" si="90"/>
        <v>0</v>
      </c>
      <c r="M120" s="1170"/>
      <c r="N120" s="92"/>
      <c r="O120" s="68">
        <f>+H120*tab!$F$33</f>
        <v>0</v>
      </c>
      <c r="P120" s="68">
        <f>+I120*tab!$F$33</f>
        <v>0</v>
      </c>
      <c r="Q120" s="68">
        <f>+J120*tab!$F$33</f>
        <v>0</v>
      </c>
      <c r="R120" s="68">
        <f>+K120*tab!$F$33</f>
        <v>0</v>
      </c>
      <c r="S120" s="68">
        <f>+L120*tab!$F$33</f>
        <v>0</v>
      </c>
      <c r="T120" s="92"/>
      <c r="U120" s="1618"/>
      <c r="V120" s="1499">
        <f>+H120*tab!$F$34</f>
        <v>0</v>
      </c>
      <c r="W120" s="1499">
        <f>+I120*tab!$F$34</f>
        <v>0</v>
      </c>
      <c r="X120" s="1499">
        <f>+J120*tab!$F$34</f>
        <v>0</v>
      </c>
      <c r="Y120" s="1499">
        <f>+K120*tab!$F$34</f>
        <v>0</v>
      </c>
      <c r="Z120" s="1499">
        <f>+L120*tab!$F$34</f>
        <v>0</v>
      </c>
      <c r="AA120" s="92"/>
      <c r="AB120" s="1179"/>
      <c r="AC120" s="1160"/>
      <c r="AD120" s="1160"/>
      <c r="AE120" s="1160"/>
      <c r="AF120" s="1160"/>
      <c r="AG120" s="1160"/>
      <c r="AH120" s="1160"/>
      <c r="AI120" s="1160"/>
      <c r="AJ120" s="1160"/>
      <c r="AK120" s="1160"/>
      <c r="AL120" s="1160"/>
      <c r="AM120" s="1160"/>
      <c r="AN120" s="1160"/>
      <c r="AO120" s="1160"/>
    </row>
    <row r="121" spans="2:41" s="113" customFormat="1" x14ac:dyDescent="0.2">
      <c r="B121" s="1073"/>
      <c r="D121" s="111">
        <v>33</v>
      </c>
      <c r="E121" s="151" t="s">
        <v>667</v>
      </c>
      <c r="F121" s="1093" t="s">
        <v>312</v>
      </c>
      <c r="G121" s="1094" t="s">
        <v>609</v>
      </c>
      <c r="H121" s="1118">
        <v>0</v>
      </c>
      <c r="I121" s="1118">
        <f t="shared" si="87"/>
        <v>0</v>
      </c>
      <c r="J121" s="1119">
        <f t="shared" si="88"/>
        <v>0</v>
      </c>
      <c r="K121" s="1119">
        <f t="shared" si="89"/>
        <v>0</v>
      </c>
      <c r="L121" s="1119">
        <f t="shared" si="90"/>
        <v>0</v>
      </c>
      <c r="M121" s="1170"/>
      <c r="N121" s="92"/>
      <c r="O121" s="68">
        <f>+H121*tab!$F$33</f>
        <v>0</v>
      </c>
      <c r="P121" s="68">
        <f>+I121*tab!$F$33</f>
        <v>0</v>
      </c>
      <c r="Q121" s="68">
        <f>+J121*tab!$F$33</f>
        <v>0</v>
      </c>
      <c r="R121" s="68">
        <f>+K121*tab!$F$33</f>
        <v>0</v>
      </c>
      <c r="S121" s="68">
        <f>+L121*tab!$F$33</f>
        <v>0</v>
      </c>
      <c r="T121" s="92"/>
      <c r="U121" s="1618"/>
      <c r="V121" s="1499">
        <f>+H121*tab!$F$34</f>
        <v>0</v>
      </c>
      <c r="W121" s="1499">
        <f>+I121*tab!$F$34</f>
        <v>0</v>
      </c>
      <c r="X121" s="1499">
        <f>+J121*tab!$F$34</f>
        <v>0</v>
      </c>
      <c r="Y121" s="1499">
        <f>+K121*tab!$F$34</f>
        <v>0</v>
      </c>
      <c r="Z121" s="1499">
        <f>+L121*tab!$F$34</f>
        <v>0</v>
      </c>
      <c r="AA121" s="92"/>
      <c r="AB121" s="1179"/>
      <c r="AC121" s="1160"/>
      <c r="AD121" s="1160"/>
      <c r="AE121" s="1160"/>
      <c r="AF121" s="1160"/>
      <c r="AG121" s="1160"/>
      <c r="AH121" s="1160"/>
      <c r="AI121" s="1160"/>
      <c r="AJ121" s="1160"/>
      <c r="AK121" s="1160"/>
      <c r="AL121" s="1160"/>
      <c r="AM121" s="1160"/>
      <c r="AN121" s="1160"/>
      <c r="AO121" s="1160"/>
    </row>
    <row r="122" spans="2:41" s="113" customFormat="1" x14ac:dyDescent="0.2">
      <c r="B122" s="1073"/>
      <c r="D122" s="111"/>
      <c r="E122" s="1076"/>
      <c r="F122" s="1077"/>
      <c r="G122" s="1094" t="s">
        <v>610</v>
      </c>
      <c r="H122" s="1118">
        <v>0</v>
      </c>
      <c r="I122" s="1118">
        <f t="shared" si="87"/>
        <v>0</v>
      </c>
      <c r="J122" s="1119">
        <f t="shared" si="88"/>
        <v>0</v>
      </c>
      <c r="K122" s="1119">
        <f t="shared" si="89"/>
        <v>0</v>
      </c>
      <c r="L122" s="1119">
        <f t="shared" si="90"/>
        <v>0</v>
      </c>
      <c r="M122" s="1170"/>
      <c r="N122" s="92"/>
      <c r="O122" s="68">
        <f>+H122*tab!$F$33</f>
        <v>0</v>
      </c>
      <c r="P122" s="68">
        <f>+I122*tab!$F$33</f>
        <v>0</v>
      </c>
      <c r="Q122" s="68">
        <f>+J122*tab!$F$33</f>
        <v>0</v>
      </c>
      <c r="R122" s="68">
        <f>+K122*tab!$F$33</f>
        <v>0</v>
      </c>
      <c r="S122" s="68">
        <f>+L122*tab!$F$33</f>
        <v>0</v>
      </c>
      <c r="T122" s="92"/>
      <c r="U122" s="1618"/>
      <c r="V122" s="1499">
        <f>+H122*tab!$F$34</f>
        <v>0</v>
      </c>
      <c r="W122" s="1499">
        <f>+I122*tab!$F$34</f>
        <v>0</v>
      </c>
      <c r="X122" s="1499">
        <f>+J122*tab!$F$34</f>
        <v>0</v>
      </c>
      <c r="Y122" s="1499">
        <f>+K122*tab!$F$34</f>
        <v>0</v>
      </c>
      <c r="Z122" s="1499">
        <f>+L122*tab!$F$34</f>
        <v>0</v>
      </c>
      <c r="AA122" s="92"/>
      <c r="AB122" s="1179"/>
      <c r="AC122" s="1160"/>
      <c r="AD122" s="1160"/>
      <c r="AE122" s="1160"/>
      <c r="AF122" s="1160"/>
      <c r="AG122" s="1160"/>
      <c r="AH122" s="1160"/>
      <c r="AI122" s="1160"/>
      <c r="AJ122" s="1160"/>
      <c r="AK122" s="1160"/>
      <c r="AL122" s="1160"/>
      <c r="AM122" s="1160"/>
      <c r="AN122" s="1160"/>
      <c r="AO122" s="1160"/>
    </row>
    <row r="123" spans="2:41" s="113" customFormat="1" x14ac:dyDescent="0.2">
      <c r="B123" s="1073"/>
      <c r="D123" s="111">
        <v>34</v>
      </c>
      <c r="E123" s="151" t="s">
        <v>668</v>
      </c>
      <c r="F123" s="1093" t="s">
        <v>312</v>
      </c>
      <c r="G123" s="1094" t="s">
        <v>609</v>
      </c>
      <c r="H123" s="1118">
        <v>0</v>
      </c>
      <c r="I123" s="1118">
        <f t="shared" si="87"/>
        <v>0</v>
      </c>
      <c r="J123" s="1119">
        <f t="shared" si="88"/>
        <v>0</v>
      </c>
      <c r="K123" s="1119">
        <f t="shared" si="89"/>
        <v>0</v>
      </c>
      <c r="L123" s="1119">
        <f t="shared" si="90"/>
        <v>0</v>
      </c>
      <c r="M123" s="1170"/>
      <c r="N123" s="92"/>
      <c r="O123" s="68">
        <f>+H123*tab!$F$33</f>
        <v>0</v>
      </c>
      <c r="P123" s="68">
        <f>+I123*tab!$F$33</f>
        <v>0</v>
      </c>
      <c r="Q123" s="68">
        <f>+J123*tab!$F$33</f>
        <v>0</v>
      </c>
      <c r="R123" s="68">
        <f>+K123*tab!$F$33</f>
        <v>0</v>
      </c>
      <c r="S123" s="68">
        <f>+L123*tab!$F$33</f>
        <v>0</v>
      </c>
      <c r="T123" s="92"/>
      <c r="U123" s="1618"/>
      <c r="V123" s="1499">
        <f>+H123*tab!$F$34</f>
        <v>0</v>
      </c>
      <c r="W123" s="1499">
        <f>+I123*tab!$F$34</f>
        <v>0</v>
      </c>
      <c r="X123" s="1499">
        <f>+J123*tab!$F$34</f>
        <v>0</v>
      </c>
      <c r="Y123" s="1499">
        <f>+K123*tab!$F$34</f>
        <v>0</v>
      </c>
      <c r="Z123" s="1499">
        <f>+L123*tab!$F$34</f>
        <v>0</v>
      </c>
      <c r="AA123" s="92"/>
      <c r="AB123" s="1179"/>
      <c r="AC123" s="1160"/>
      <c r="AD123" s="1160"/>
      <c r="AE123" s="1160"/>
      <c r="AF123" s="1160"/>
      <c r="AG123" s="1160"/>
      <c r="AH123" s="1160"/>
      <c r="AI123" s="1160"/>
      <c r="AJ123" s="1160"/>
      <c r="AK123" s="1160"/>
      <c r="AL123" s="1160"/>
      <c r="AM123" s="1160"/>
      <c r="AN123" s="1160"/>
      <c r="AO123" s="1160"/>
    </row>
    <row r="124" spans="2:41" s="113" customFormat="1" x14ac:dyDescent="0.2">
      <c r="B124" s="1073"/>
      <c r="D124" s="111"/>
      <c r="E124" s="1076"/>
      <c r="F124" s="1077"/>
      <c r="G124" s="1094" t="s">
        <v>610</v>
      </c>
      <c r="H124" s="1118">
        <v>0</v>
      </c>
      <c r="I124" s="1118">
        <f t="shared" si="87"/>
        <v>0</v>
      </c>
      <c r="J124" s="1119">
        <f t="shared" si="88"/>
        <v>0</v>
      </c>
      <c r="K124" s="1119">
        <f t="shared" si="89"/>
        <v>0</v>
      </c>
      <c r="L124" s="1119">
        <f t="shared" si="90"/>
        <v>0</v>
      </c>
      <c r="M124" s="1170"/>
      <c r="N124" s="92"/>
      <c r="O124" s="68">
        <f>+H124*tab!$F$33</f>
        <v>0</v>
      </c>
      <c r="P124" s="68">
        <f>+I124*tab!$F$33</f>
        <v>0</v>
      </c>
      <c r="Q124" s="68">
        <f>+J124*tab!$F$33</f>
        <v>0</v>
      </c>
      <c r="R124" s="68">
        <f>+K124*tab!$F$33</f>
        <v>0</v>
      </c>
      <c r="S124" s="68">
        <f>+L124*tab!$F$33</f>
        <v>0</v>
      </c>
      <c r="T124" s="92"/>
      <c r="U124" s="1618"/>
      <c r="V124" s="1499">
        <f>+H124*tab!$F$34</f>
        <v>0</v>
      </c>
      <c r="W124" s="1499">
        <f>+I124*tab!$F$34</f>
        <v>0</v>
      </c>
      <c r="X124" s="1499">
        <f>+J124*tab!$F$34</f>
        <v>0</v>
      </c>
      <c r="Y124" s="1499">
        <f>+K124*tab!$F$34</f>
        <v>0</v>
      </c>
      <c r="Z124" s="1499">
        <f>+L124*tab!$F$34</f>
        <v>0</v>
      </c>
      <c r="AA124" s="92"/>
      <c r="AB124" s="1179"/>
      <c r="AC124" s="1160"/>
      <c r="AD124" s="1160"/>
      <c r="AE124" s="1160"/>
      <c r="AF124" s="1160"/>
      <c r="AG124" s="1160"/>
      <c r="AH124" s="1160"/>
      <c r="AI124" s="1160"/>
      <c r="AJ124" s="1160"/>
      <c r="AK124" s="1160"/>
      <c r="AL124" s="1160"/>
      <c r="AM124" s="1160"/>
      <c r="AN124" s="1160"/>
      <c r="AO124" s="1160"/>
    </row>
    <row r="125" spans="2:41" s="113" customFormat="1" x14ac:dyDescent="0.2">
      <c r="B125" s="1073"/>
      <c r="D125" s="111">
        <v>35</v>
      </c>
      <c r="E125" s="151" t="s">
        <v>669</v>
      </c>
      <c r="F125" s="1093" t="s">
        <v>312</v>
      </c>
      <c r="G125" s="1094" t="s">
        <v>609</v>
      </c>
      <c r="H125" s="1118">
        <v>0</v>
      </c>
      <c r="I125" s="1118">
        <f t="shared" si="87"/>
        <v>0</v>
      </c>
      <c r="J125" s="1119">
        <f t="shared" si="88"/>
        <v>0</v>
      </c>
      <c r="K125" s="1119">
        <f t="shared" si="89"/>
        <v>0</v>
      </c>
      <c r="L125" s="1119">
        <f t="shared" si="90"/>
        <v>0</v>
      </c>
      <c r="M125" s="1170"/>
      <c r="N125" s="92"/>
      <c r="O125" s="68">
        <f>+H125*tab!$F$33</f>
        <v>0</v>
      </c>
      <c r="P125" s="68">
        <f>+I125*tab!$F$33</f>
        <v>0</v>
      </c>
      <c r="Q125" s="68">
        <f>+J125*tab!$F$33</f>
        <v>0</v>
      </c>
      <c r="R125" s="68">
        <f>+K125*tab!$F$33</f>
        <v>0</v>
      </c>
      <c r="S125" s="68">
        <f>+L125*tab!$F$33</f>
        <v>0</v>
      </c>
      <c r="T125" s="92"/>
      <c r="U125" s="1618"/>
      <c r="V125" s="1499">
        <f>+H125*tab!$F$34</f>
        <v>0</v>
      </c>
      <c r="W125" s="1499">
        <f>+I125*tab!$F$34</f>
        <v>0</v>
      </c>
      <c r="X125" s="1499">
        <f>+J125*tab!$F$34</f>
        <v>0</v>
      </c>
      <c r="Y125" s="1499">
        <f>+K125*tab!$F$34</f>
        <v>0</v>
      </c>
      <c r="Z125" s="1499">
        <f>+L125*tab!$F$34</f>
        <v>0</v>
      </c>
      <c r="AA125" s="92"/>
      <c r="AB125" s="1179"/>
      <c r="AC125" s="1160"/>
      <c r="AD125" s="1160"/>
      <c r="AE125" s="1160"/>
      <c r="AF125" s="1160"/>
      <c r="AG125" s="1160"/>
      <c r="AH125" s="1160"/>
      <c r="AI125" s="1160"/>
      <c r="AJ125" s="1160"/>
      <c r="AK125" s="1160"/>
      <c r="AL125" s="1160"/>
      <c r="AM125" s="1160"/>
      <c r="AN125" s="1160"/>
      <c r="AO125" s="1160"/>
    </row>
    <row r="126" spans="2:41" s="113" customFormat="1" x14ac:dyDescent="0.2">
      <c r="B126" s="1073"/>
      <c r="D126" s="111"/>
      <c r="E126" s="1076"/>
      <c r="F126" s="1077"/>
      <c r="G126" s="1094" t="s">
        <v>610</v>
      </c>
      <c r="H126" s="1118">
        <v>0</v>
      </c>
      <c r="I126" s="1118">
        <f t="shared" si="87"/>
        <v>0</v>
      </c>
      <c r="J126" s="1119">
        <f t="shared" si="88"/>
        <v>0</v>
      </c>
      <c r="K126" s="1119">
        <f t="shared" si="89"/>
        <v>0</v>
      </c>
      <c r="L126" s="1119">
        <f t="shared" si="90"/>
        <v>0</v>
      </c>
      <c r="M126" s="1170"/>
      <c r="N126" s="92"/>
      <c r="O126" s="68">
        <f>+H126*tab!$F$33</f>
        <v>0</v>
      </c>
      <c r="P126" s="68">
        <f>+I126*tab!$F$33</f>
        <v>0</v>
      </c>
      <c r="Q126" s="68">
        <f>+J126*tab!$F$33</f>
        <v>0</v>
      </c>
      <c r="R126" s="68">
        <f>+K126*tab!$F$33</f>
        <v>0</v>
      </c>
      <c r="S126" s="68">
        <f>+L126*tab!$F$33</f>
        <v>0</v>
      </c>
      <c r="T126" s="92"/>
      <c r="U126" s="1618"/>
      <c r="V126" s="1499">
        <f>+H126*tab!$F$34</f>
        <v>0</v>
      </c>
      <c r="W126" s="1499">
        <f>+I126*tab!$F$34</f>
        <v>0</v>
      </c>
      <c r="X126" s="1499">
        <f>+J126*tab!$F$34</f>
        <v>0</v>
      </c>
      <c r="Y126" s="1499">
        <f>+K126*tab!$F$34</f>
        <v>0</v>
      </c>
      <c r="Z126" s="1499">
        <f>+L126*tab!$F$34</f>
        <v>0</v>
      </c>
      <c r="AA126" s="92"/>
      <c r="AB126" s="1179"/>
      <c r="AC126" s="1160"/>
      <c r="AD126" s="1160"/>
      <c r="AE126" s="1160"/>
      <c r="AF126" s="1160"/>
      <c r="AG126" s="1160"/>
      <c r="AH126" s="1160"/>
      <c r="AI126" s="1160"/>
      <c r="AJ126" s="1160"/>
      <c r="AK126" s="1160"/>
      <c r="AL126" s="1160"/>
      <c r="AM126" s="1160"/>
      <c r="AN126" s="1160"/>
      <c r="AO126" s="1160"/>
    </row>
    <row r="127" spans="2:41" s="113" customFormat="1" x14ac:dyDescent="0.2">
      <c r="B127" s="1073"/>
      <c r="D127" s="111">
        <v>36</v>
      </c>
      <c r="E127" s="151" t="s">
        <v>670</v>
      </c>
      <c r="F127" s="1093" t="s">
        <v>312</v>
      </c>
      <c r="G127" s="1094" t="s">
        <v>609</v>
      </c>
      <c r="H127" s="1118">
        <v>0</v>
      </c>
      <c r="I127" s="1118">
        <f t="shared" si="87"/>
        <v>0</v>
      </c>
      <c r="J127" s="1119">
        <f t="shared" si="88"/>
        <v>0</v>
      </c>
      <c r="K127" s="1119">
        <f t="shared" si="89"/>
        <v>0</v>
      </c>
      <c r="L127" s="1119">
        <f t="shared" si="90"/>
        <v>0</v>
      </c>
      <c r="M127" s="1170"/>
      <c r="N127" s="92"/>
      <c r="O127" s="68">
        <f>+H127*tab!$F$33</f>
        <v>0</v>
      </c>
      <c r="P127" s="68">
        <f>+I127*tab!$F$33</f>
        <v>0</v>
      </c>
      <c r="Q127" s="68">
        <f>+J127*tab!$F$33</f>
        <v>0</v>
      </c>
      <c r="R127" s="68">
        <f>+K127*tab!$F$33</f>
        <v>0</v>
      </c>
      <c r="S127" s="68">
        <f>+L127*tab!$F$33</f>
        <v>0</v>
      </c>
      <c r="T127" s="92"/>
      <c r="U127" s="1618"/>
      <c r="V127" s="1499">
        <f>+H127*tab!$F$34</f>
        <v>0</v>
      </c>
      <c r="W127" s="1499">
        <f>+I127*tab!$F$34</f>
        <v>0</v>
      </c>
      <c r="X127" s="1499">
        <f>+J127*tab!$F$34</f>
        <v>0</v>
      </c>
      <c r="Y127" s="1499">
        <f>+K127*tab!$F$34</f>
        <v>0</v>
      </c>
      <c r="Z127" s="1499">
        <f>+L127*tab!$F$34</f>
        <v>0</v>
      </c>
      <c r="AA127" s="92"/>
      <c r="AB127" s="1179"/>
      <c r="AC127" s="1160"/>
      <c r="AD127" s="1160"/>
      <c r="AE127" s="1160"/>
      <c r="AF127" s="1160"/>
      <c r="AG127" s="1160"/>
      <c r="AH127" s="1160"/>
      <c r="AI127" s="1160"/>
      <c r="AJ127" s="1160"/>
      <c r="AK127" s="1160"/>
      <c r="AL127" s="1160"/>
      <c r="AM127" s="1160"/>
      <c r="AN127" s="1160"/>
      <c r="AO127" s="1160"/>
    </row>
    <row r="128" spans="2:41" s="113" customFormat="1" x14ac:dyDescent="0.2">
      <c r="B128" s="1073"/>
      <c r="D128" s="111"/>
      <c r="E128" s="1076"/>
      <c r="F128" s="1077"/>
      <c r="G128" s="1094" t="s">
        <v>610</v>
      </c>
      <c r="H128" s="1118">
        <v>0</v>
      </c>
      <c r="I128" s="1118">
        <f t="shared" si="87"/>
        <v>0</v>
      </c>
      <c r="J128" s="1119">
        <f t="shared" si="88"/>
        <v>0</v>
      </c>
      <c r="K128" s="1119">
        <f t="shared" si="89"/>
        <v>0</v>
      </c>
      <c r="L128" s="1119">
        <f t="shared" si="90"/>
        <v>0</v>
      </c>
      <c r="M128" s="1170"/>
      <c r="N128" s="92"/>
      <c r="O128" s="68">
        <f>+H128*tab!$F$33</f>
        <v>0</v>
      </c>
      <c r="P128" s="68">
        <f>+I128*tab!$F$33</f>
        <v>0</v>
      </c>
      <c r="Q128" s="68">
        <f>+J128*tab!$F$33</f>
        <v>0</v>
      </c>
      <c r="R128" s="68">
        <f>+K128*tab!$F$33</f>
        <v>0</v>
      </c>
      <c r="S128" s="68">
        <f>+L128*tab!$F$33</f>
        <v>0</v>
      </c>
      <c r="T128" s="92"/>
      <c r="U128" s="1618"/>
      <c r="V128" s="1499">
        <f>+H128*tab!$F$34</f>
        <v>0</v>
      </c>
      <c r="W128" s="1499">
        <f>+I128*tab!$F$34</f>
        <v>0</v>
      </c>
      <c r="X128" s="1499">
        <f>+J128*tab!$F$34</f>
        <v>0</v>
      </c>
      <c r="Y128" s="1499">
        <f>+K128*tab!$F$34</f>
        <v>0</v>
      </c>
      <c r="Z128" s="1499">
        <f>+L128*tab!$F$34</f>
        <v>0</v>
      </c>
      <c r="AA128" s="92"/>
      <c r="AB128" s="1179"/>
      <c r="AC128" s="1160"/>
      <c r="AD128" s="1160"/>
      <c r="AE128" s="1160"/>
      <c r="AF128" s="1160"/>
      <c r="AG128" s="1160"/>
      <c r="AH128" s="1160"/>
      <c r="AI128" s="1160"/>
      <c r="AJ128" s="1160"/>
      <c r="AK128" s="1160"/>
      <c r="AL128" s="1160"/>
      <c r="AM128" s="1160"/>
      <c r="AN128" s="1160"/>
      <c r="AO128" s="1160"/>
    </row>
    <row r="129" spans="2:41" s="113" customFormat="1" x14ac:dyDescent="0.2">
      <c r="B129" s="1073"/>
      <c r="D129" s="111">
        <v>37</v>
      </c>
      <c r="E129" s="151" t="s">
        <v>671</v>
      </c>
      <c r="F129" s="1093" t="s">
        <v>312</v>
      </c>
      <c r="G129" s="1094" t="s">
        <v>609</v>
      </c>
      <c r="H129" s="1118">
        <v>0</v>
      </c>
      <c r="I129" s="1118">
        <f t="shared" si="87"/>
        <v>0</v>
      </c>
      <c r="J129" s="1119">
        <f t="shared" si="88"/>
        <v>0</v>
      </c>
      <c r="K129" s="1119">
        <f t="shared" si="89"/>
        <v>0</v>
      </c>
      <c r="L129" s="1119">
        <f t="shared" si="90"/>
        <v>0</v>
      </c>
      <c r="M129" s="1170"/>
      <c r="N129" s="92"/>
      <c r="O129" s="68">
        <f>+H129*tab!$F$33</f>
        <v>0</v>
      </c>
      <c r="P129" s="68">
        <f>+I129*tab!$F$33</f>
        <v>0</v>
      </c>
      <c r="Q129" s="68">
        <f>+J129*tab!$F$33</f>
        <v>0</v>
      </c>
      <c r="R129" s="68">
        <f>+K129*tab!$F$33</f>
        <v>0</v>
      </c>
      <c r="S129" s="68">
        <f>+L129*tab!$F$33</f>
        <v>0</v>
      </c>
      <c r="T129" s="92"/>
      <c r="U129" s="1618"/>
      <c r="V129" s="1499">
        <f>+H129*tab!$F$34</f>
        <v>0</v>
      </c>
      <c r="W129" s="1499">
        <f>+I129*tab!$F$34</f>
        <v>0</v>
      </c>
      <c r="X129" s="1499">
        <f>+J129*tab!$F$34</f>
        <v>0</v>
      </c>
      <c r="Y129" s="1499">
        <f>+K129*tab!$F$34</f>
        <v>0</v>
      </c>
      <c r="Z129" s="1499">
        <f>+L129*tab!$F$34</f>
        <v>0</v>
      </c>
      <c r="AA129" s="92"/>
      <c r="AB129" s="1179"/>
      <c r="AC129" s="1160"/>
      <c r="AD129" s="1160"/>
      <c r="AE129" s="1160"/>
      <c r="AF129" s="1160"/>
      <c r="AG129" s="1160"/>
      <c r="AH129" s="1160"/>
      <c r="AI129" s="1160"/>
      <c r="AJ129" s="1160"/>
      <c r="AK129" s="1160"/>
      <c r="AL129" s="1160"/>
      <c r="AM129" s="1160"/>
      <c r="AN129" s="1160"/>
      <c r="AO129" s="1160"/>
    </row>
    <row r="130" spans="2:41" s="113" customFormat="1" x14ac:dyDescent="0.2">
      <c r="B130" s="1073"/>
      <c r="D130" s="111"/>
      <c r="E130" s="1076"/>
      <c r="F130" s="1077"/>
      <c r="G130" s="1094" t="s">
        <v>610</v>
      </c>
      <c r="H130" s="1118">
        <v>0</v>
      </c>
      <c r="I130" s="1118">
        <f t="shared" si="87"/>
        <v>0</v>
      </c>
      <c r="J130" s="1119">
        <f t="shared" si="88"/>
        <v>0</v>
      </c>
      <c r="K130" s="1119">
        <f t="shared" si="89"/>
        <v>0</v>
      </c>
      <c r="L130" s="1119">
        <f t="shared" si="90"/>
        <v>0</v>
      </c>
      <c r="M130" s="1170"/>
      <c r="N130" s="92"/>
      <c r="O130" s="68">
        <f>+H130*tab!$F$33</f>
        <v>0</v>
      </c>
      <c r="P130" s="68">
        <f>+I130*tab!$F$33</f>
        <v>0</v>
      </c>
      <c r="Q130" s="68">
        <f>+J130*tab!$F$33</f>
        <v>0</v>
      </c>
      <c r="R130" s="68">
        <f>+K130*tab!$F$33</f>
        <v>0</v>
      </c>
      <c r="S130" s="68">
        <f>+L130*tab!$F$33</f>
        <v>0</v>
      </c>
      <c r="T130" s="92"/>
      <c r="U130" s="1618"/>
      <c r="V130" s="1499">
        <f>+H130*tab!$F$34</f>
        <v>0</v>
      </c>
      <c r="W130" s="1499">
        <f>+I130*tab!$F$34</f>
        <v>0</v>
      </c>
      <c r="X130" s="1499">
        <f>+J130*tab!$F$34</f>
        <v>0</v>
      </c>
      <c r="Y130" s="1499">
        <f>+K130*tab!$F$34</f>
        <v>0</v>
      </c>
      <c r="Z130" s="1499">
        <f>+L130*tab!$F$34</f>
        <v>0</v>
      </c>
      <c r="AA130" s="92"/>
      <c r="AB130" s="1179"/>
      <c r="AC130" s="1160"/>
      <c r="AD130" s="1160"/>
      <c r="AE130" s="1160"/>
      <c r="AF130" s="1160"/>
      <c r="AG130" s="1160"/>
      <c r="AH130" s="1160"/>
      <c r="AI130" s="1160"/>
      <c r="AJ130" s="1160"/>
      <c r="AK130" s="1160"/>
      <c r="AL130" s="1160"/>
      <c r="AM130" s="1160"/>
      <c r="AN130" s="1160"/>
      <c r="AO130" s="1160"/>
    </row>
    <row r="131" spans="2:41" s="113" customFormat="1" x14ac:dyDescent="0.2">
      <c r="B131" s="1073"/>
      <c r="D131" s="111">
        <v>38</v>
      </c>
      <c r="E131" s="151" t="s">
        <v>672</v>
      </c>
      <c r="F131" s="1093" t="s">
        <v>312</v>
      </c>
      <c r="G131" s="1094" t="s">
        <v>609</v>
      </c>
      <c r="H131" s="1118">
        <v>0</v>
      </c>
      <c r="I131" s="1118">
        <f t="shared" si="87"/>
        <v>0</v>
      </c>
      <c r="J131" s="1119">
        <f t="shared" si="88"/>
        <v>0</v>
      </c>
      <c r="K131" s="1119">
        <f t="shared" si="89"/>
        <v>0</v>
      </c>
      <c r="L131" s="1119">
        <f t="shared" si="90"/>
        <v>0</v>
      </c>
      <c r="M131" s="1170"/>
      <c r="N131" s="92"/>
      <c r="O131" s="68">
        <f>+H131*tab!$F$33</f>
        <v>0</v>
      </c>
      <c r="P131" s="68">
        <f>+I131*tab!$F$33</f>
        <v>0</v>
      </c>
      <c r="Q131" s="68">
        <f>+J131*tab!$F$33</f>
        <v>0</v>
      </c>
      <c r="R131" s="68">
        <f>+K131*tab!$F$33</f>
        <v>0</v>
      </c>
      <c r="S131" s="68">
        <f>+L131*tab!$F$33</f>
        <v>0</v>
      </c>
      <c r="T131" s="92"/>
      <c r="U131" s="1618"/>
      <c r="V131" s="1499">
        <f>+H131*tab!$F$34</f>
        <v>0</v>
      </c>
      <c r="W131" s="1499">
        <f>+I131*tab!$F$34</f>
        <v>0</v>
      </c>
      <c r="X131" s="1499">
        <f>+J131*tab!$F$34</f>
        <v>0</v>
      </c>
      <c r="Y131" s="1499">
        <f>+K131*tab!$F$34</f>
        <v>0</v>
      </c>
      <c r="Z131" s="1499">
        <f>+L131*tab!$F$34</f>
        <v>0</v>
      </c>
      <c r="AA131" s="92"/>
      <c r="AB131" s="1179"/>
      <c r="AC131" s="1160"/>
      <c r="AD131" s="1160"/>
      <c r="AE131" s="1160"/>
      <c r="AF131" s="1160"/>
      <c r="AG131" s="1160"/>
      <c r="AH131" s="1160"/>
      <c r="AI131" s="1160"/>
      <c r="AJ131" s="1160"/>
      <c r="AK131" s="1160"/>
      <c r="AL131" s="1160"/>
      <c r="AM131" s="1160"/>
      <c r="AN131" s="1160"/>
      <c r="AO131" s="1160"/>
    </row>
    <row r="132" spans="2:41" s="113" customFormat="1" x14ac:dyDescent="0.2">
      <c r="B132" s="1073"/>
      <c r="D132" s="111"/>
      <c r="E132" s="1076"/>
      <c r="F132" s="1077"/>
      <c r="G132" s="1094" t="s">
        <v>610</v>
      </c>
      <c r="H132" s="1118">
        <v>0</v>
      </c>
      <c r="I132" s="1118">
        <f t="shared" si="87"/>
        <v>0</v>
      </c>
      <c r="J132" s="1119">
        <f t="shared" si="88"/>
        <v>0</v>
      </c>
      <c r="K132" s="1119">
        <f t="shared" si="89"/>
        <v>0</v>
      </c>
      <c r="L132" s="1119">
        <f t="shared" si="90"/>
        <v>0</v>
      </c>
      <c r="M132" s="1170"/>
      <c r="N132" s="92"/>
      <c r="O132" s="68">
        <f>+H132*tab!$F$33</f>
        <v>0</v>
      </c>
      <c r="P132" s="68">
        <f>+I132*tab!$F$33</f>
        <v>0</v>
      </c>
      <c r="Q132" s="68">
        <f>+J132*tab!$F$33</f>
        <v>0</v>
      </c>
      <c r="R132" s="68">
        <f>+K132*tab!$F$33</f>
        <v>0</v>
      </c>
      <c r="S132" s="68">
        <f>+L132*tab!$F$33</f>
        <v>0</v>
      </c>
      <c r="T132" s="92"/>
      <c r="U132" s="1618"/>
      <c r="V132" s="1499">
        <f>+H132*tab!$F$34</f>
        <v>0</v>
      </c>
      <c r="W132" s="1499">
        <f>+I132*tab!$F$34</f>
        <v>0</v>
      </c>
      <c r="X132" s="1499">
        <f>+J132*tab!$F$34</f>
        <v>0</v>
      </c>
      <c r="Y132" s="1499">
        <f>+K132*tab!$F$34</f>
        <v>0</v>
      </c>
      <c r="Z132" s="1499">
        <f>+L132*tab!$F$34</f>
        <v>0</v>
      </c>
      <c r="AA132" s="92"/>
      <c r="AB132" s="1179"/>
      <c r="AC132" s="1160"/>
      <c r="AD132" s="1160"/>
      <c r="AE132" s="1160"/>
      <c r="AF132" s="1160"/>
      <c r="AG132" s="1160"/>
      <c r="AH132" s="1160"/>
      <c r="AI132" s="1160"/>
      <c r="AJ132" s="1160"/>
      <c r="AK132" s="1160"/>
      <c r="AL132" s="1160"/>
      <c r="AM132" s="1160"/>
      <c r="AN132" s="1160"/>
      <c r="AO132" s="1160"/>
    </row>
    <row r="133" spans="2:41" s="113" customFormat="1" x14ac:dyDescent="0.2">
      <c r="B133" s="1073"/>
      <c r="D133" s="111">
        <v>39</v>
      </c>
      <c r="E133" s="151" t="s">
        <v>673</v>
      </c>
      <c r="F133" s="1093" t="s">
        <v>312</v>
      </c>
      <c r="G133" s="1094" t="s">
        <v>609</v>
      </c>
      <c r="H133" s="1118">
        <v>0</v>
      </c>
      <c r="I133" s="1118">
        <f t="shared" si="87"/>
        <v>0</v>
      </c>
      <c r="J133" s="1119">
        <f t="shared" si="88"/>
        <v>0</v>
      </c>
      <c r="K133" s="1119">
        <f t="shared" si="89"/>
        <v>0</v>
      </c>
      <c r="L133" s="1119">
        <f t="shared" si="90"/>
        <v>0</v>
      </c>
      <c r="M133" s="1170"/>
      <c r="N133" s="92"/>
      <c r="O133" s="68">
        <f>+H133*tab!$F$33</f>
        <v>0</v>
      </c>
      <c r="P133" s="68">
        <f>+I133*tab!$F$33</f>
        <v>0</v>
      </c>
      <c r="Q133" s="68">
        <f>+J133*tab!$F$33</f>
        <v>0</v>
      </c>
      <c r="R133" s="68">
        <f>+K133*tab!$F$33</f>
        <v>0</v>
      </c>
      <c r="S133" s="68">
        <f>+L133*tab!$F$33</f>
        <v>0</v>
      </c>
      <c r="T133" s="92"/>
      <c r="U133" s="1618"/>
      <c r="V133" s="1499">
        <f>+H133*tab!$F$34</f>
        <v>0</v>
      </c>
      <c r="W133" s="1499">
        <f>+I133*tab!$F$34</f>
        <v>0</v>
      </c>
      <c r="X133" s="1499">
        <f>+J133*tab!$F$34</f>
        <v>0</v>
      </c>
      <c r="Y133" s="1499">
        <f>+K133*tab!$F$34</f>
        <v>0</v>
      </c>
      <c r="Z133" s="1499">
        <f>+L133*tab!$F$34</f>
        <v>0</v>
      </c>
      <c r="AA133" s="92"/>
      <c r="AB133" s="1179"/>
      <c r="AC133" s="1160"/>
      <c r="AD133" s="1160"/>
      <c r="AE133" s="1160"/>
      <c r="AF133" s="1160"/>
      <c r="AG133" s="1160"/>
      <c r="AH133" s="1160"/>
      <c r="AI133" s="1160"/>
      <c r="AJ133" s="1160"/>
      <c r="AK133" s="1160"/>
      <c r="AL133" s="1160"/>
      <c r="AM133" s="1160"/>
      <c r="AN133" s="1160"/>
      <c r="AO133" s="1160"/>
    </row>
    <row r="134" spans="2:41" s="113" customFormat="1" x14ac:dyDescent="0.2">
      <c r="B134" s="1073"/>
      <c r="D134" s="111"/>
      <c r="E134" s="1076"/>
      <c r="F134" s="1077"/>
      <c r="G134" s="1094" t="s">
        <v>610</v>
      </c>
      <c r="H134" s="1118">
        <v>0</v>
      </c>
      <c r="I134" s="1118">
        <f t="shared" si="87"/>
        <v>0</v>
      </c>
      <c r="J134" s="1119">
        <f t="shared" si="88"/>
        <v>0</v>
      </c>
      <c r="K134" s="1119">
        <f t="shared" si="89"/>
        <v>0</v>
      </c>
      <c r="L134" s="1119">
        <f t="shared" si="90"/>
        <v>0</v>
      </c>
      <c r="M134" s="1170"/>
      <c r="N134" s="92"/>
      <c r="O134" s="68">
        <f>+H134*tab!$F$33</f>
        <v>0</v>
      </c>
      <c r="P134" s="68">
        <f>+I134*tab!$F$33</f>
        <v>0</v>
      </c>
      <c r="Q134" s="68">
        <f>+J134*tab!$F$33</f>
        <v>0</v>
      </c>
      <c r="R134" s="68">
        <f>+K134*tab!$F$33</f>
        <v>0</v>
      </c>
      <c r="S134" s="68">
        <f>+L134*tab!$F$33</f>
        <v>0</v>
      </c>
      <c r="T134" s="92"/>
      <c r="U134" s="1618"/>
      <c r="V134" s="1499">
        <f>+H134*tab!$F$34</f>
        <v>0</v>
      </c>
      <c r="W134" s="1499">
        <f>+I134*tab!$F$34</f>
        <v>0</v>
      </c>
      <c r="X134" s="1499">
        <f>+J134*tab!$F$34</f>
        <v>0</v>
      </c>
      <c r="Y134" s="1499">
        <f>+K134*tab!$F$34</f>
        <v>0</v>
      </c>
      <c r="Z134" s="1499">
        <f>+L134*tab!$F$34</f>
        <v>0</v>
      </c>
      <c r="AA134" s="92"/>
      <c r="AB134" s="1179"/>
      <c r="AC134" s="1160"/>
      <c r="AD134" s="1160"/>
      <c r="AE134" s="1160"/>
      <c r="AF134" s="1160"/>
      <c r="AG134" s="1160"/>
      <c r="AH134" s="1160"/>
      <c r="AI134" s="1160"/>
      <c r="AJ134" s="1160"/>
      <c r="AK134" s="1160"/>
      <c r="AL134" s="1160"/>
      <c r="AM134" s="1160"/>
      <c r="AN134" s="1160"/>
      <c r="AO134" s="1160"/>
    </row>
    <row r="135" spans="2:41" s="113" customFormat="1" x14ac:dyDescent="0.2">
      <c r="B135" s="1073"/>
      <c r="D135" s="111">
        <v>40</v>
      </c>
      <c r="E135" s="151" t="s">
        <v>674</v>
      </c>
      <c r="F135" s="1093" t="s">
        <v>312</v>
      </c>
      <c r="G135" s="1094" t="s">
        <v>609</v>
      </c>
      <c r="H135" s="1118">
        <v>0</v>
      </c>
      <c r="I135" s="1118">
        <f t="shared" si="87"/>
        <v>0</v>
      </c>
      <c r="J135" s="1119">
        <f t="shared" si="88"/>
        <v>0</v>
      </c>
      <c r="K135" s="1119">
        <f t="shared" si="89"/>
        <v>0</v>
      </c>
      <c r="L135" s="1119">
        <f t="shared" si="90"/>
        <v>0</v>
      </c>
      <c r="M135" s="1170"/>
      <c r="N135" s="92"/>
      <c r="O135" s="68">
        <f>+H135*tab!$F$33</f>
        <v>0</v>
      </c>
      <c r="P135" s="68">
        <f>+I135*tab!$F$33</f>
        <v>0</v>
      </c>
      <c r="Q135" s="68">
        <f>+J135*tab!$F$33</f>
        <v>0</v>
      </c>
      <c r="R135" s="68">
        <f>+K135*tab!$F$33</f>
        <v>0</v>
      </c>
      <c r="S135" s="68">
        <f>+L135*tab!$F$33</f>
        <v>0</v>
      </c>
      <c r="T135" s="92"/>
      <c r="U135" s="1618"/>
      <c r="V135" s="1499">
        <f>+H135*tab!$F$34</f>
        <v>0</v>
      </c>
      <c r="W135" s="1499">
        <f>+I135*tab!$F$34</f>
        <v>0</v>
      </c>
      <c r="X135" s="1499">
        <f>+J135*tab!$F$34</f>
        <v>0</v>
      </c>
      <c r="Y135" s="1499">
        <f>+K135*tab!$F$34</f>
        <v>0</v>
      </c>
      <c r="Z135" s="1499">
        <f>+L135*tab!$F$34</f>
        <v>0</v>
      </c>
      <c r="AA135" s="92"/>
      <c r="AB135" s="1179"/>
      <c r="AC135" s="1160"/>
      <c r="AD135" s="1160"/>
      <c r="AE135" s="1160"/>
      <c r="AF135" s="1160"/>
      <c r="AG135" s="1160"/>
      <c r="AH135" s="1160"/>
      <c r="AI135" s="1160"/>
      <c r="AJ135" s="1160"/>
      <c r="AK135" s="1160"/>
      <c r="AL135" s="1160"/>
      <c r="AM135" s="1160"/>
      <c r="AN135" s="1160"/>
      <c r="AO135" s="1160"/>
    </row>
    <row r="136" spans="2:41" s="113" customFormat="1" x14ac:dyDescent="0.2">
      <c r="B136" s="1073"/>
      <c r="D136" s="111"/>
      <c r="E136" s="1076"/>
      <c r="F136" s="1077"/>
      <c r="G136" s="1094" t="s">
        <v>610</v>
      </c>
      <c r="H136" s="1118">
        <v>0</v>
      </c>
      <c r="I136" s="1118">
        <f t="shared" si="87"/>
        <v>0</v>
      </c>
      <c r="J136" s="1119">
        <f t="shared" si="88"/>
        <v>0</v>
      </c>
      <c r="K136" s="1119">
        <f t="shared" si="89"/>
        <v>0</v>
      </c>
      <c r="L136" s="1119">
        <f t="shared" si="90"/>
        <v>0</v>
      </c>
      <c r="M136" s="1170"/>
      <c r="N136" s="92"/>
      <c r="O136" s="68">
        <f>+H136*tab!$F$33</f>
        <v>0</v>
      </c>
      <c r="P136" s="68">
        <f>+I136*tab!$F$33</f>
        <v>0</v>
      </c>
      <c r="Q136" s="68">
        <f>+J136*tab!$F$33</f>
        <v>0</v>
      </c>
      <c r="R136" s="68">
        <f>+K136*tab!$F$33</f>
        <v>0</v>
      </c>
      <c r="S136" s="68">
        <f>+L136*tab!$F$33</f>
        <v>0</v>
      </c>
      <c r="T136" s="92"/>
      <c r="U136" s="1618"/>
      <c r="V136" s="1499">
        <f>+H136*tab!$F$34</f>
        <v>0</v>
      </c>
      <c r="W136" s="1499">
        <f>+I136*tab!$F$34</f>
        <v>0</v>
      </c>
      <c r="X136" s="1499">
        <f>+J136*tab!$F$34</f>
        <v>0</v>
      </c>
      <c r="Y136" s="1499">
        <f>+K136*tab!$F$34</f>
        <v>0</v>
      </c>
      <c r="Z136" s="1499">
        <f>+L136*tab!$F$34</f>
        <v>0</v>
      </c>
      <c r="AA136" s="92"/>
      <c r="AB136" s="1179"/>
      <c r="AC136" s="1160"/>
      <c r="AD136" s="1160"/>
      <c r="AE136" s="1160"/>
      <c r="AF136" s="1160"/>
      <c r="AG136" s="1160"/>
      <c r="AH136" s="1160"/>
      <c r="AI136" s="1160"/>
      <c r="AJ136" s="1160"/>
      <c r="AK136" s="1160"/>
      <c r="AL136" s="1160"/>
      <c r="AM136" s="1160"/>
      <c r="AN136" s="1160"/>
      <c r="AO136" s="1160"/>
    </row>
    <row r="137" spans="2:41" s="113" customFormat="1" x14ac:dyDescent="0.2">
      <c r="B137" s="1073"/>
      <c r="D137" s="111">
        <v>41</v>
      </c>
      <c r="E137" s="151" t="s">
        <v>675</v>
      </c>
      <c r="F137" s="1093" t="s">
        <v>312</v>
      </c>
      <c r="G137" s="1094" t="s">
        <v>609</v>
      </c>
      <c r="H137" s="1118">
        <v>0</v>
      </c>
      <c r="I137" s="1118">
        <f t="shared" si="87"/>
        <v>0</v>
      </c>
      <c r="J137" s="1119">
        <f t="shared" si="88"/>
        <v>0</v>
      </c>
      <c r="K137" s="1119">
        <f t="shared" si="89"/>
        <v>0</v>
      </c>
      <c r="L137" s="1119">
        <f t="shared" si="90"/>
        <v>0</v>
      </c>
      <c r="M137" s="1170"/>
      <c r="N137" s="92"/>
      <c r="O137" s="68">
        <f>+H137*tab!$F$33</f>
        <v>0</v>
      </c>
      <c r="P137" s="68">
        <f>+I137*tab!$F$33</f>
        <v>0</v>
      </c>
      <c r="Q137" s="68">
        <f>+J137*tab!$F$33</f>
        <v>0</v>
      </c>
      <c r="R137" s="68">
        <f>+K137*tab!$F$33</f>
        <v>0</v>
      </c>
      <c r="S137" s="68">
        <f>+L137*tab!$F$33</f>
        <v>0</v>
      </c>
      <c r="T137" s="92"/>
      <c r="U137" s="1618"/>
      <c r="V137" s="1499">
        <f>+H137*tab!$F$34</f>
        <v>0</v>
      </c>
      <c r="W137" s="1499">
        <f>+I137*tab!$F$34</f>
        <v>0</v>
      </c>
      <c r="X137" s="1499">
        <f>+J137*tab!$F$34</f>
        <v>0</v>
      </c>
      <c r="Y137" s="1499">
        <f>+K137*tab!$F$34</f>
        <v>0</v>
      </c>
      <c r="Z137" s="1499">
        <f>+L137*tab!$F$34</f>
        <v>0</v>
      </c>
      <c r="AA137" s="92"/>
      <c r="AB137" s="1179"/>
      <c r="AC137" s="1160"/>
      <c r="AD137" s="1160"/>
      <c r="AE137" s="1160"/>
      <c r="AF137" s="1160"/>
      <c r="AG137" s="1160"/>
      <c r="AH137" s="1160"/>
      <c r="AI137" s="1160"/>
      <c r="AJ137" s="1160"/>
      <c r="AK137" s="1160"/>
      <c r="AL137" s="1160"/>
      <c r="AM137" s="1160"/>
      <c r="AN137" s="1160"/>
      <c r="AO137" s="1160"/>
    </row>
    <row r="138" spans="2:41" s="113" customFormat="1" x14ac:dyDescent="0.2">
      <c r="B138" s="1073"/>
      <c r="D138" s="111"/>
      <c r="E138" s="1076"/>
      <c r="F138" s="1077"/>
      <c r="G138" s="1094" t="s">
        <v>610</v>
      </c>
      <c r="H138" s="1118">
        <v>0</v>
      </c>
      <c r="I138" s="1118">
        <f t="shared" si="87"/>
        <v>0</v>
      </c>
      <c r="J138" s="1119">
        <f t="shared" si="88"/>
        <v>0</v>
      </c>
      <c r="K138" s="1119">
        <f t="shared" si="89"/>
        <v>0</v>
      </c>
      <c r="L138" s="1119">
        <f t="shared" si="90"/>
        <v>0</v>
      </c>
      <c r="M138" s="1170"/>
      <c r="N138" s="92"/>
      <c r="O138" s="68">
        <f>+H138*tab!$F$33</f>
        <v>0</v>
      </c>
      <c r="P138" s="68">
        <f>+I138*tab!$F$33</f>
        <v>0</v>
      </c>
      <c r="Q138" s="68">
        <f>+J138*tab!$F$33</f>
        <v>0</v>
      </c>
      <c r="R138" s="68">
        <f>+K138*tab!$F$33</f>
        <v>0</v>
      </c>
      <c r="S138" s="68">
        <f>+L138*tab!$F$33</f>
        <v>0</v>
      </c>
      <c r="T138" s="92"/>
      <c r="U138" s="1618"/>
      <c r="V138" s="1499">
        <f>+H138*tab!$F$34</f>
        <v>0</v>
      </c>
      <c r="W138" s="1499">
        <f>+I138*tab!$F$34</f>
        <v>0</v>
      </c>
      <c r="X138" s="1499">
        <f>+J138*tab!$F$34</f>
        <v>0</v>
      </c>
      <c r="Y138" s="1499">
        <f>+K138*tab!$F$34</f>
        <v>0</v>
      </c>
      <c r="Z138" s="1499">
        <f>+L138*tab!$F$34</f>
        <v>0</v>
      </c>
      <c r="AA138" s="92"/>
      <c r="AB138" s="1179"/>
      <c r="AC138" s="1160"/>
      <c r="AD138" s="1160"/>
      <c r="AE138" s="1160"/>
      <c r="AF138" s="1160"/>
      <c r="AG138" s="1160"/>
      <c r="AH138" s="1160"/>
      <c r="AI138" s="1160"/>
      <c r="AJ138" s="1160"/>
      <c r="AK138" s="1160"/>
      <c r="AL138" s="1160"/>
      <c r="AM138" s="1160"/>
      <c r="AN138" s="1160"/>
      <c r="AO138" s="1160"/>
    </row>
    <row r="139" spans="2:41" s="113" customFormat="1" x14ac:dyDescent="0.2">
      <c r="B139" s="1073"/>
      <c r="D139" s="111">
        <v>42</v>
      </c>
      <c r="E139" s="151" t="s">
        <v>676</v>
      </c>
      <c r="F139" s="1093" t="s">
        <v>312</v>
      </c>
      <c r="G139" s="1094" t="s">
        <v>609</v>
      </c>
      <c r="H139" s="1118">
        <v>0</v>
      </c>
      <c r="I139" s="1118">
        <f t="shared" si="87"/>
        <v>0</v>
      </c>
      <c r="J139" s="1119">
        <f t="shared" si="88"/>
        <v>0</v>
      </c>
      <c r="K139" s="1119">
        <f t="shared" si="89"/>
        <v>0</v>
      </c>
      <c r="L139" s="1119">
        <f t="shared" si="90"/>
        <v>0</v>
      </c>
      <c r="M139" s="1170"/>
      <c r="N139" s="92"/>
      <c r="O139" s="68">
        <f>+H139*tab!$F$33</f>
        <v>0</v>
      </c>
      <c r="P139" s="68">
        <f>+I139*tab!$F$33</f>
        <v>0</v>
      </c>
      <c r="Q139" s="68">
        <f>+J139*tab!$F$33</f>
        <v>0</v>
      </c>
      <c r="R139" s="68">
        <f>+K139*tab!$F$33</f>
        <v>0</v>
      </c>
      <c r="S139" s="68">
        <f>+L139*tab!$F$33</f>
        <v>0</v>
      </c>
      <c r="T139" s="92"/>
      <c r="U139" s="1618"/>
      <c r="V139" s="1499">
        <f>+H139*tab!$F$34</f>
        <v>0</v>
      </c>
      <c r="W139" s="1499">
        <f>+I139*tab!$F$34</f>
        <v>0</v>
      </c>
      <c r="X139" s="1499">
        <f>+J139*tab!$F$34</f>
        <v>0</v>
      </c>
      <c r="Y139" s="1499">
        <f>+K139*tab!$F$34</f>
        <v>0</v>
      </c>
      <c r="Z139" s="1499">
        <f>+L139*tab!$F$34</f>
        <v>0</v>
      </c>
      <c r="AA139" s="92"/>
      <c r="AB139" s="1179"/>
      <c r="AC139" s="1160"/>
      <c r="AD139" s="1160"/>
      <c r="AE139" s="1160"/>
      <c r="AF139" s="1160"/>
      <c r="AG139" s="1160"/>
      <c r="AH139" s="1160"/>
      <c r="AI139" s="1160"/>
      <c r="AJ139" s="1160"/>
      <c r="AK139" s="1160"/>
      <c r="AL139" s="1160"/>
      <c r="AM139" s="1160"/>
      <c r="AN139" s="1160"/>
      <c r="AO139" s="1160"/>
    </row>
    <row r="140" spans="2:41" s="113" customFormat="1" x14ac:dyDescent="0.2">
      <c r="B140" s="1073"/>
      <c r="D140" s="111"/>
      <c r="E140" s="1076"/>
      <c r="F140" s="1077"/>
      <c r="G140" s="1094" t="s">
        <v>610</v>
      </c>
      <c r="H140" s="1118">
        <v>0</v>
      </c>
      <c r="I140" s="1118">
        <f t="shared" si="87"/>
        <v>0</v>
      </c>
      <c r="J140" s="1119">
        <f t="shared" si="88"/>
        <v>0</v>
      </c>
      <c r="K140" s="1119">
        <f t="shared" si="89"/>
        <v>0</v>
      </c>
      <c r="L140" s="1119">
        <f t="shared" si="90"/>
        <v>0</v>
      </c>
      <c r="M140" s="1170"/>
      <c r="N140" s="92"/>
      <c r="O140" s="68">
        <f>+H140*tab!$F$33</f>
        <v>0</v>
      </c>
      <c r="P140" s="68">
        <f>+I140*tab!$F$33</f>
        <v>0</v>
      </c>
      <c r="Q140" s="68">
        <f>+J140*tab!$F$33</f>
        <v>0</v>
      </c>
      <c r="R140" s="68">
        <f>+K140*tab!$F$33</f>
        <v>0</v>
      </c>
      <c r="S140" s="68">
        <f>+L140*tab!$F$33</f>
        <v>0</v>
      </c>
      <c r="T140" s="92"/>
      <c r="U140" s="1618"/>
      <c r="V140" s="1499">
        <f>+H140*tab!$F$34</f>
        <v>0</v>
      </c>
      <c r="W140" s="1499">
        <f>+I140*tab!$F$34</f>
        <v>0</v>
      </c>
      <c r="X140" s="1499">
        <f>+J140*tab!$F$34</f>
        <v>0</v>
      </c>
      <c r="Y140" s="1499">
        <f>+K140*tab!$F$34</f>
        <v>0</v>
      </c>
      <c r="Z140" s="1499">
        <f>+L140*tab!$F$34</f>
        <v>0</v>
      </c>
      <c r="AA140" s="92"/>
      <c r="AB140" s="1179"/>
      <c r="AC140" s="1160"/>
      <c r="AD140" s="1160"/>
      <c r="AE140" s="1160"/>
      <c r="AF140" s="1160"/>
      <c r="AG140" s="1160"/>
      <c r="AH140" s="1160"/>
      <c r="AI140" s="1160"/>
      <c r="AJ140" s="1160"/>
      <c r="AK140" s="1160"/>
      <c r="AL140" s="1160"/>
      <c r="AM140" s="1160"/>
      <c r="AN140" s="1160"/>
      <c r="AO140" s="1160"/>
    </row>
    <row r="141" spans="2:41" s="113" customFormat="1" x14ac:dyDescent="0.2">
      <c r="B141" s="1073"/>
      <c r="D141" s="111">
        <v>43</v>
      </c>
      <c r="E141" s="151" t="s">
        <v>677</v>
      </c>
      <c r="F141" s="1093" t="s">
        <v>312</v>
      </c>
      <c r="G141" s="1094" t="s">
        <v>609</v>
      </c>
      <c r="H141" s="1118">
        <v>0</v>
      </c>
      <c r="I141" s="1118">
        <f t="shared" si="87"/>
        <v>0</v>
      </c>
      <c r="J141" s="1119">
        <f t="shared" si="88"/>
        <v>0</v>
      </c>
      <c r="K141" s="1119">
        <f t="shared" si="89"/>
        <v>0</v>
      </c>
      <c r="L141" s="1119">
        <f t="shared" si="90"/>
        <v>0</v>
      </c>
      <c r="M141" s="1170"/>
      <c r="N141" s="92"/>
      <c r="O141" s="68">
        <f>+H141*tab!$F$33</f>
        <v>0</v>
      </c>
      <c r="P141" s="68">
        <f>+I141*tab!$F$33</f>
        <v>0</v>
      </c>
      <c r="Q141" s="68">
        <f>+J141*tab!$F$33</f>
        <v>0</v>
      </c>
      <c r="R141" s="68">
        <f>+K141*tab!$F$33</f>
        <v>0</v>
      </c>
      <c r="S141" s="68">
        <f>+L141*tab!$F$33</f>
        <v>0</v>
      </c>
      <c r="T141" s="92"/>
      <c r="U141" s="1618"/>
      <c r="V141" s="1499">
        <f>+H141*tab!$F$34</f>
        <v>0</v>
      </c>
      <c r="W141" s="1499">
        <f>+I141*tab!$F$34</f>
        <v>0</v>
      </c>
      <c r="X141" s="1499">
        <f>+J141*tab!$F$34</f>
        <v>0</v>
      </c>
      <c r="Y141" s="1499">
        <f>+K141*tab!$F$34</f>
        <v>0</v>
      </c>
      <c r="Z141" s="1499">
        <f>+L141*tab!$F$34</f>
        <v>0</v>
      </c>
      <c r="AA141" s="92"/>
      <c r="AB141" s="1179"/>
      <c r="AC141" s="1160"/>
      <c r="AD141" s="1160"/>
      <c r="AE141" s="1160"/>
      <c r="AF141" s="1160"/>
      <c r="AG141" s="1160"/>
      <c r="AH141" s="1160"/>
      <c r="AI141" s="1160"/>
      <c r="AJ141" s="1160"/>
      <c r="AK141" s="1160"/>
      <c r="AL141" s="1160"/>
      <c r="AM141" s="1160"/>
      <c r="AN141" s="1160"/>
      <c r="AO141" s="1160"/>
    </row>
    <row r="142" spans="2:41" s="113" customFormat="1" x14ac:dyDescent="0.2">
      <c r="B142" s="1073"/>
      <c r="D142" s="111"/>
      <c r="E142" s="1076"/>
      <c r="F142" s="1077"/>
      <c r="G142" s="1094" t="s">
        <v>610</v>
      </c>
      <c r="H142" s="1118">
        <v>0</v>
      </c>
      <c r="I142" s="1118">
        <f t="shared" si="87"/>
        <v>0</v>
      </c>
      <c r="J142" s="1119">
        <f t="shared" si="88"/>
        <v>0</v>
      </c>
      <c r="K142" s="1119">
        <f t="shared" si="89"/>
        <v>0</v>
      </c>
      <c r="L142" s="1119">
        <f t="shared" si="90"/>
        <v>0</v>
      </c>
      <c r="M142" s="1170"/>
      <c r="N142" s="92"/>
      <c r="O142" s="68">
        <f>+H142*tab!$F$33</f>
        <v>0</v>
      </c>
      <c r="P142" s="68">
        <f>+I142*tab!$F$33</f>
        <v>0</v>
      </c>
      <c r="Q142" s="68">
        <f>+J142*tab!$F$33</f>
        <v>0</v>
      </c>
      <c r="R142" s="68">
        <f>+K142*tab!$F$33</f>
        <v>0</v>
      </c>
      <c r="S142" s="68">
        <f>+L142*tab!$F$33</f>
        <v>0</v>
      </c>
      <c r="T142" s="92"/>
      <c r="U142" s="1618"/>
      <c r="V142" s="1499">
        <f>+H142*tab!$F$34</f>
        <v>0</v>
      </c>
      <c r="W142" s="1499">
        <f>+I142*tab!$F$34</f>
        <v>0</v>
      </c>
      <c r="X142" s="1499">
        <f>+J142*tab!$F$34</f>
        <v>0</v>
      </c>
      <c r="Y142" s="1499">
        <f>+K142*tab!$F$34</f>
        <v>0</v>
      </c>
      <c r="Z142" s="1499">
        <f>+L142*tab!$F$34</f>
        <v>0</v>
      </c>
      <c r="AA142" s="92"/>
      <c r="AB142" s="1179"/>
      <c r="AC142" s="1160"/>
      <c r="AD142" s="1160"/>
      <c r="AE142" s="1160"/>
      <c r="AF142" s="1160"/>
      <c r="AG142" s="1160"/>
      <c r="AH142" s="1160"/>
      <c r="AI142" s="1160"/>
      <c r="AJ142" s="1160"/>
      <c r="AK142" s="1160"/>
      <c r="AL142" s="1160"/>
      <c r="AM142" s="1160"/>
      <c r="AN142" s="1160"/>
      <c r="AO142" s="1160"/>
    </row>
    <row r="143" spans="2:41" s="113" customFormat="1" x14ac:dyDescent="0.2">
      <c r="B143" s="1073"/>
      <c r="D143" s="111">
        <v>44</v>
      </c>
      <c r="E143" s="151" t="s">
        <v>678</v>
      </c>
      <c r="F143" s="1093" t="s">
        <v>312</v>
      </c>
      <c r="G143" s="1094" t="s">
        <v>609</v>
      </c>
      <c r="H143" s="1118">
        <v>0</v>
      </c>
      <c r="I143" s="1118">
        <f t="shared" si="87"/>
        <v>0</v>
      </c>
      <c r="J143" s="1119">
        <f t="shared" si="88"/>
        <v>0</v>
      </c>
      <c r="K143" s="1119">
        <f t="shared" si="89"/>
        <v>0</v>
      </c>
      <c r="L143" s="1119">
        <f t="shared" si="90"/>
        <v>0</v>
      </c>
      <c r="M143" s="1170"/>
      <c r="N143" s="92"/>
      <c r="O143" s="68">
        <f>+H143*tab!$F$33</f>
        <v>0</v>
      </c>
      <c r="P143" s="68">
        <f>+I143*tab!$F$33</f>
        <v>0</v>
      </c>
      <c r="Q143" s="68">
        <f>+J143*tab!$F$33</f>
        <v>0</v>
      </c>
      <c r="R143" s="68">
        <f>+K143*tab!$F$33</f>
        <v>0</v>
      </c>
      <c r="S143" s="68">
        <f>+L143*tab!$F$33</f>
        <v>0</v>
      </c>
      <c r="T143" s="92"/>
      <c r="U143" s="1618"/>
      <c r="V143" s="1499">
        <f>+H143*tab!$F$34</f>
        <v>0</v>
      </c>
      <c r="W143" s="1499">
        <f>+I143*tab!$F$34</f>
        <v>0</v>
      </c>
      <c r="X143" s="1499">
        <f>+J143*tab!$F$34</f>
        <v>0</v>
      </c>
      <c r="Y143" s="1499">
        <f>+K143*tab!$F$34</f>
        <v>0</v>
      </c>
      <c r="Z143" s="1499">
        <f>+L143*tab!$F$34</f>
        <v>0</v>
      </c>
      <c r="AA143" s="92"/>
      <c r="AB143" s="1179"/>
      <c r="AC143" s="1160"/>
      <c r="AD143" s="1160"/>
      <c r="AE143" s="1160"/>
      <c r="AF143" s="1160"/>
      <c r="AG143" s="1160"/>
      <c r="AH143" s="1160"/>
      <c r="AI143" s="1160"/>
      <c r="AJ143" s="1160"/>
      <c r="AK143" s="1160"/>
      <c r="AL143" s="1160"/>
      <c r="AM143" s="1160"/>
      <c r="AN143" s="1160"/>
      <c r="AO143" s="1160"/>
    </row>
    <row r="144" spans="2:41" s="113" customFormat="1" x14ac:dyDescent="0.2">
      <c r="B144" s="1073"/>
      <c r="D144" s="111"/>
      <c r="E144" s="1076"/>
      <c r="F144" s="1077"/>
      <c r="G144" s="1094" t="s">
        <v>610</v>
      </c>
      <c r="H144" s="1118">
        <v>0</v>
      </c>
      <c r="I144" s="1118">
        <f t="shared" si="87"/>
        <v>0</v>
      </c>
      <c r="J144" s="1119">
        <f t="shared" si="88"/>
        <v>0</v>
      </c>
      <c r="K144" s="1119">
        <f t="shared" si="89"/>
        <v>0</v>
      </c>
      <c r="L144" s="1119">
        <f t="shared" si="90"/>
        <v>0</v>
      </c>
      <c r="M144" s="1170"/>
      <c r="N144" s="92"/>
      <c r="O144" s="68">
        <f>+H144*tab!$F$33</f>
        <v>0</v>
      </c>
      <c r="P144" s="68">
        <f>+I144*tab!$F$33</f>
        <v>0</v>
      </c>
      <c r="Q144" s="68">
        <f>+J144*tab!$F$33</f>
        <v>0</v>
      </c>
      <c r="R144" s="68">
        <f>+K144*tab!$F$33</f>
        <v>0</v>
      </c>
      <c r="S144" s="68">
        <f>+L144*tab!$F$33</f>
        <v>0</v>
      </c>
      <c r="T144" s="92"/>
      <c r="U144" s="1618"/>
      <c r="V144" s="1499">
        <f>+H144*tab!$F$34</f>
        <v>0</v>
      </c>
      <c r="W144" s="1499">
        <f>+I144*tab!$F$34</f>
        <v>0</v>
      </c>
      <c r="X144" s="1499">
        <f>+J144*tab!$F$34</f>
        <v>0</v>
      </c>
      <c r="Y144" s="1499">
        <f>+K144*tab!$F$34</f>
        <v>0</v>
      </c>
      <c r="Z144" s="1499">
        <f>+L144*tab!$F$34</f>
        <v>0</v>
      </c>
      <c r="AA144" s="92"/>
      <c r="AB144" s="1179"/>
      <c r="AC144" s="1160"/>
      <c r="AD144" s="1160"/>
      <c r="AE144" s="1160"/>
      <c r="AF144" s="1160"/>
      <c r="AG144" s="1160"/>
      <c r="AH144" s="1160"/>
      <c r="AI144" s="1160"/>
      <c r="AJ144" s="1160"/>
      <c r="AK144" s="1160"/>
      <c r="AL144" s="1160"/>
      <c r="AM144" s="1160"/>
      <c r="AN144" s="1160"/>
      <c r="AO144" s="1160"/>
    </row>
    <row r="145" spans="2:52" s="113" customFormat="1" x14ac:dyDescent="0.2">
      <c r="B145" s="1073"/>
      <c r="D145" s="111">
        <v>45</v>
      </c>
      <c r="E145" s="151" t="s">
        <v>679</v>
      </c>
      <c r="F145" s="1093" t="s">
        <v>312</v>
      </c>
      <c r="G145" s="1094" t="s">
        <v>609</v>
      </c>
      <c r="H145" s="1118">
        <v>0</v>
      </c>
      <c r="I145" s="1118">
        <f t="shared" si="87"/>
        <v>0</v>
      </c>
      <c r="J145" s="1119">
        <f t="shared" si="88"/>
        <v>0</v>
      </c>
      <c r="K145" s="1119">
        <f t="shared" si="89"/>
        <v>0</v>
      </c>
      <c r="L145" s="1119">
        <f t="shared" si="90"/>
        <v>0</v>
      </c>
      <c r="M145" s="1170"/>
      <c r="N145" s="92"/>
      <c r="O145" s="68">
        <f>+H145*tab!$F$33</f>
        <v>0</v>
      </c>
      <c r="P145" s="68">
        <f>+I145*tab!$F$33</f>
        <v>0</v>
      </c>
      <c r="Q145" s="68">
        <f>+J145*tab!$F$33</f>
        <v>0</v>
      </c>
      <c r="R145" s="68">
        <f>+K145*tab!$F$33</f>
        <v>0</v>
      </c>
      <c r="S145" s="68">
        <f>+L145*tab!$F$33</f>
        <v>0</v>
      </c>
      <c r="T145" s="92"/>
      <c r="U145" s="1618"/>
      <c r="V145" s="1499">
        <f>+H145*tab!$F$34</f>
        <v>0</v>
      </c>
      <c r="W145" s="1499">
        <f>+I145*tab!$F$34</f>
        <v>0</v>
      </c>
      <c r="X145" s="1499">
        <f>+J145*tab!$F$34</f>
        <v>0</v>
      </c>
      <c r="Y145" s="1499">
        <f>+K145*tab!$F$34</f>
        <v>0</v>
      </c>
      <c r="Z145" s="1499">
        <f>+L145*tab!$F$34</f>
        <v>0</v>
      </c>
      <c r="AA145" s="92"/>
      <c r="AB145" s="1179"/>
      <c r="AC145" s="1160"/>
      <c r="AD145" s="1160"/>
      <c r="AE145" s="1160"/>
      <c r="AF145" s="1160"/>
      <c r="AG145" s="1160"/>
      <c r="AH145" s="1160"/>
      <c r="AI145" s="1160"/>
      <c r="AJ145" s="1160"/>
      <c r="AK145" s="1160"/>
      <c r="AL145" s="1160"/>
      <c r="AM145" s="1160"/>
      <c r="AN145" s="1160"/>
      <c r="AO145" s="1160"/>
    </row>
    <row r="146" spans="2:52" s="113" customFormat="1" x14ac:dyDescent="0.2">
      <c r="B146" s="1073"/>
      <c r="D146" s="111"/>
      <c r="E146" s="1076"/>
      <c r="F146" s="1077"/>
      <c r="G146" s="1094" t="s">
        <v>610</v>
      </c>
      <c r="H146" s="1118">
        <v>0</v>
      </c>
      <c r="I146" s="1118">
        <f t="shared" si="87"/>
        <v>0</v>
      </c>
      <c r="J146" s="1119">
        <f t="shared" si="88"/>
        <v>0</v>
      </c>
      <c r="K146" s="1119">
        <f t="shared" si="89"/>
        <v>0</v>
      </c>
      <c r="L146" s="1119">
        <f t="shared" si="90"/>
        <v>0</v>
      </c>
      <c r="M146" s="1170"/>
      <c r="N146" s="92"/>
      <c r="O146" s="68">
        <f>+H146*tab!$F$33</f>
        <v>0</v>
      </c>
      <c r="P146" s="68">
        <f>+I146*tab!$F$33</f>
        <v>0</v>
      </c>
      <c r="Q146" s="68">
        <f>+J146*tab!$F$33</f>
        <v>0</v>
      </c>
      <c r="R146" s="68">
        <f>+K146*tab!$F$33</f>
        <v>0</v>
      </c>
      <c r="S146" s="68">
        <f>+L146*tab!$F$33</f>
        <v>0</v>
      </c>
      <c r="T146" s="92"/>
      <c r="U146" s="1618"/>
      <c r="V146" s="1499">
        <f>+H146*tab!$F$34</f>
        <v>0</v>
      </c>
      <c r="W146" s="1499">
        <f>+I146*tab!$F$34</f>
        <v>0</v>
      </c>
      <c r="X146" s="1499">
        <f>+J146*tab!$F$34</f>
        <v>0</v>
      </c>
      <c r="Y146" s="1499">
        <f>+K146*tab!$F$34</f>
        <v>0</v>
      </c>
      <c r="Z146" s="1499">
        <f>+L146*tab!$F$34</f>
        <v>0</v>
      </c>
      <c r="AA146" s="92"/>
      <c r="AB146" s="1179"/>
      <c r="AC146" s="1160"/>
      <c r="AD146" s="1160"/>
      <c r="AE146" s="1160"/>
      <c r="AF146" s="1160"/>
      <c r="AG146" s="1160"/>
      <c r="AH146" s="1160"/>
      <c r="AI146" s="1160"/>
      <c r="AJ146" s="1160"/>
      <c r="AK146" s="1160"/>
      <c r="AL146" s="1160"/>
      <c r="AM146" s="1160"/>
      <c r="AN146" s="1160"/>
      <c r="AO146" s="1160"/>
    </row>
    <row r="147" spans="2:52" s="113" customFormat="1" x14ac:dyDescent="0.2">
      <c r="B147" s="1073"/>
      <c r="D147" s="111">
        <v>46</v>
      </c>
      <c r="E147" s="151" t="s">
        <v>680</v>
      </c>
      <c r="F147" s="1093" t="s">
        <v>312</v>
      </c>
      <c r="G147" s="1094" t="s">
        <v>609</v>
      </c>
      <c r="H147" s="1118">
        <v>0</v>
      </c>
      <c r="I147" s="1118">
        <f t="shared" si="87"/>
        <v>0</v>
      </c>
      <c r="J147" s="1119">
        <f t="shared" si="88"/>
        <v>0</v>
      </c>
      <c r="K147" s="1119">
        <f t="shared" si="89"/>
        <v>0</v>
      </c>
      <c r="L147" s="1119">
        <f t="shared" si="90"/>
        <v>0</v>
      </c>
      <c r="M147" s="1170"/>
      <c r="N147" s="92"/>
      <c r="O147" s="68">
        <f>+H147*tab!$F$33</f>
        <v>0</v>
      </c>
      <c r="P147" s="68">
        <f>+I147*tab!$F$33</f>
        <v>0</v>
      </c>
      <c r="Q147" s="68">
        <f>+J147*tab!$F$33</f>
        <v>0</v>
      </c>
      <c r="R147" s="68">
        <f>+K147*tab!$F$33</f>
        <v>0</v>
      </c>
      <c r="S147" s="68">
        <f>+L147*tab!$F$33</f>
        <v>0</v>
      </c>
      <c r="T147" s="92"/>
      <c r="U147" s="1618"/>
      <c r="V147" s="1499">
        <f>+H147*tab!$F$34</f>
        <v>0</v>
      </c>
      <c r="W147" s="1499">
        <f>+I147*tab!$F$34</f>
        <v>0</v>
      </c>
      <c r="X147" s="1499">
        <f>+J147*tab!$F$34</f>
        <v>0</v>
      </c>
      <c r="Y147" s="1499">
        <f>+K147*tab!$F$34</f>
        <v>0</v>
      </c>
      <c r="Z147" s="1499">
        <f>+L147*tab!$F$34</f>
        <v>0</v>
      </c>
      <c r="AA147" s="92"/>
      <c r="AB147" s="1179"/>
      <c r="AC147" s="1160"/>
      <c r="AD147" s="1160"/>
      <c r="AE147" s="1160"/>
      <c r="AF147" s="1160"/>
      <c r="AG147" s="1160"/>
      <c r="AH147" s="1160"/>
      <c r="AI147" s="1160"/>
      <c r="AJ147" s="1160"/>
      <c r="AK147" s="1160"/>
      <c r="AL147" s="1160"/>
      <c r="AM147" s="1160"/>
      <c r="AN147" s="1160"/>
      <c r="AO147" s="1160"/>
    </row>
    <row r="148" spans="2:52" s="113" customFormat="1" x14ac:dyDescent="0.2">
      <c r="B148" s="1073"/>
      <c r="D148" s="111"/>
      <c r="E148" s="1076"/>
      <c r="F148" s="1077"/>
      <c r="G148" s="1094" t="s">
        <v>610</v>
      </c>
      <c r="H148" s="1118">
        <v>0</v>
      </c>
      <c r="I148" s="1118">
        <f t="shared" si="87"/>
        <v>0</v>
      </c>
      <c r="J148" s="1119">
        <f t="shared" si="88"/>
        <v>0</v>
      </c>
      <c r="K148" s="1119">
        <f t="shared" si="89"/>
        <v>0</v>
      </c>
      <c r="L148" s="1119">
        <f t="shared" si="90"/>
        <v>0</v>
      </c>
      <c r="M148" s="1170"/>
      <c r="N148" s="92"/>
      <c r="O148" s="68">
        <f>+H148*tab!$F$33</f>
        <v>0</v>
      </c>
      <c r="P148" s="68">
        <f>+I148*tab!$F$33</f>
        <v>0</v>
      </c>
      <c r="Q148" s="68">
        <f>+J148*tab!$F$33</f>
        <v>0</v>
      </c>
      <c r="R148" s="68">
        <f>+K148*tab!$F$33</f>
        <v>0</v>
      </c>
      <c r="S148" s="68">
        <f>+L148*tab!$F$33</f>
        <v>0</v>
      </c>
      <c r="T148" s="92"/>
      <c r="U148" s="1618"/>
      <c r="V148" s="1499">
        <f>+H148*tab!$F$34</f>
        <v>0</v>
      </c>
      <c r="W148" s="1499">
        <f>+I148*tab!$F$34</f>
        <v>0</v>
      </c>
      <c r="X148" s="1499">
        <f>+J148*tab!$F$34</f>
        <v>0</v>
      </c>
      <c r="Y148" s="1499">
        <f>+K148*tab!$F$34</f>
        <v>0</v>
      </c>
      <c r="Z148" s="1499">
        <f>+L148*tab!$F$34</f>
        <v>0</v>
      </c>
      <c r="AA148" s="92"/>
      <c r="AB148" s="1179"/>
      <c r="AC148" s="1160"/>
      <c r="AD148" s="1160"/>
      <c r="AE148" s="1160"/>
      <c r="AF148" s="1160"/>
      <c r="AG148" s="1160"/>
      <c r="AH148" s="1160"/>
      <c r="AI148" s="1160"/>
      <c r="AJ148" s="1160"/>
      <c r="AK148" s="1160"/>
      <c r="AL148" s="1160"/>
      <c r="AM148" s="1160"/>
      <c r="AN148" s="1160"/>
      <c r="AO148" s="1160"/>
    </row>
    <row r="149" spans="2:52" s="113" customFormat="1" x14ac:dyDescent="0.2">
      <c r="B149" s="1073"/>
      <c r="D149" s="111">
        <v>47</v>
      </c>
      <c r="E149" s="151" t="s">
        <v>681</v>
      </c>
      <c r="F149" s="1093" t="s">
        <v>312</v>
      </c>
      <c r="G149" s="1094" t="s">
        <v>609</v>
      </c>
      <c r="H149" s="1118">
        <v>0</v>
      </c>
      <c r="I149" s="1118">
        <f t="shared" si="87"/>
        <v>0</v>
      </c>
      <c r="J149" s="1119">
        <f t="shared" si="88"/>
        <v>0</v>
      </c>
      <c r="K149" s="1119">
        <f t="shared" si="89"/>
        <v>0</v>
      </c>
      <c r="L149" s="1119">
        <f t="shared" si="90"/>
        <v>0</v>
      </c>
      <c r="M149" s="1170"/>
      <c r="N149" s="92"/>
      <c r="O149" s="68">
        <f>+H149*tab!$F$33</f>
        <v>0</v>
      </c>
      <c r="P149" s="68">
        <f>+I149*tab!$F$33</f>
        <v>0</v>
      </c>
      <c r="Q149" s="68">
        <f>+J149*tab!$F$33</f>
        <v>0</v>
      </c>
      <c r="R149" s="68">
        <f>+K149*tab!$F$33</f>
        <v>0</v>
      </c>
      <c r="S149" s="68">
        <f>+L149*tab!$F$33</f>
        <v>0</v>
      </c>
      <c r="T149" s="92"/>
      <c r="U149" s="1618"/>
      <c r="V149" s="1499">
        <f>+H149*tab!$F$34</f>
        <v>0</v>
      </c>
      <c r="W149" s="1499">
        <f>+I149*tab!$F$34</f>
        <v>0</v>
      </c>
      <c r="X149" s="1499">
        <f>+J149*tab!$F$34</f>
        <v>0</v>
      </c>
      <c r="Y149" s="1499">
        <f>+K149*tab!$F$34</f>
        <v>0</v>
      </c>
      <c r="Z149" s="1499">
        <f>+L149*tab!$F$34</f>
        <v>0</v>
      </c>
      <c r="AA149" s="92"/>
      <c r="AB149" s="1179"/>
      <c r="AC149" s="1160"/>
      <c r="AD149" s="1160"/>
      <c r="AE149" s="1160"/>
      <c r="AF149" s="1160"/>
      <c r="AG149" s="1160"/>
      <c r="AH149" s="1160"/>
      <c r="AI149" s="1160"/>
      <c r="AJ149" s="1160"/>
      <c r="AK149" s="1160"/>
      <c r="AL149" s="1160"/>
      <c r="AM149" s="1160"/>
      <c r="AN149" s="1160"/>
      <c r="AO149" s="1160"/>
    </row>
    <row r="150" spans="2:52" s="113" customFormat="1" x14ac:dyDescent="0.2">
      <c r="B150" s="1073"/>
      <c r="D150" s="111"/>
      <c r="E150" s="1076"/>
      <c r="F150" s="1077"/>
      <c r="G150" s="1094" t="s">
        <v>610</v>
      </c>
      <c r="H150" s="1118">
        <v>0</v>
      </c>
      <c r="I150" s="1118">
        <f t="shared" si="87"/>
        <v>0</v>
      </c>
      <c r="J150" s="1119">
        <f t="shared" si="88"/>
        <v>0</v>
      </c>
      <c r="K150" s="1119">
        <f t="shared" si="89"/>
        <v>0</v>
      </c>
      <c r="L150" s="1119">
        <f t="shared" si="90"/>
        <v>0</v>
      </c>
      <c r="M150" s="1170"/>
      <c r="N150" s="92"/>
      <c r="O150" s="68">
        <f>+H150*tab!$F$33</f>
        <v>0</v>
      </c>
      <c r="P150" s="68">
        <f>+I150*tab!$F$33</f>
        <v>0</v>
      </c>
      <c r="Q150" s="68">
        <f>+J150*tab!$F$33</f>
        <v>0</v>
      </c>
      <c r="R150" s="68">
        <f>+K150*tab!$F$33</f>
        <v>0</v>
      </c>
      <c r="S150" s="68">
        <f>+L150*tab!$F$33</f>
        <v>0</v>
      </c>
      <c r="T150" s="92"/>
      <c r="U150" s="1618"/>
      <c r="V150" s="1499">
        <f>+H150*tab!$F$34</f>
        <v>0</v>
      </c>
      <c r="W150" s="1499">
        <f>+I150*tab!$F$34</f>
        <v>0</v>
      </c>
      <c r="X150" s="1499">
        <f>+J150*tab!$F$34</f>
        <v>0</v>
      </c>
      <c r="Y150" s="1499">
        <f>+K150*tab!$F$34</f>
        <v>0</v>
      </c>
      <c r="Z150" s="1499">
        <f>+L150*tab!$F$34</f>
        <v>0</v>
      </c>
      <c r="AA150" s="92"/>
      <c r="AB150" s="1179"/>
      <c r="AC150" s="1160"/>
      <c r="AD150" s="1160"/>
      <c r="AE150" s="1160"/>
      <c r="AF150" s="1160"/>
      <c r="AG150" s="1160"/>
      <c r="AH150" s="1160"/>
      <c r="AI150" s="1160"/>
      <c r="AJ150" s="1160"/>
      <c r="AK150" s="1160"/>
      <c r="AL150" s="1160"/>
      <c r="AM150" s="1160"/>
      <c r="AN150" s="1160"/>
      <c r="AO150" s="1160"/>
    </row>
    <row r="151" spans="2:52" s="113" customFormat="1" x14ac:dyDescent="0.2">
      <c r="B151" s="1073"/>
      <c r="D151" s="111">
        <v>48</v>
      </c>
      <c r="E151" s="151" t="s">
        <v>682</v>
      </c>
      <c r="F151" s="1093" t="s">
        <v>312</v>
      </c>
      <c r="G151" s="1094" t="s">
        <v>609</v>
      </c>
      <c r="H151" s="1118">
        <v>0</v>
      </c>
      <c r="I151" s="1118">
        <f t="shared" si="87"/>
        <v>0</v>
      </c>
      <c r="J151" s="1119">
        <f t="shared" si="88"/>
        <v>0</v>
      </c>
      <c r="K151" s="1119">
        <f t="shared" si="89"/>
        <v>0</v>
      </c>
      <c r="L151" s="1119">
        <f t="shared" si="90"/>
        <v>0</v>
      </c>
      <c r="M151" s="1170"/>
      <c r="N151" s="92"/>
      <c r="O151" s="68">
        <f>+H151*tab!$F$33</f>
        <v>0</v>
      </c>
      <c r="P151" s="68">
        <f>+I151*tab!$F$33</f>
        <v>0</v>
      </c>
      <c r="Q151" s="68">
        <f>+J151*tab!$F$33</f>
        <v>0</v>
      </c>
      <c r="R151" s="68">
        <f>+K151*tab!$F$33</f>
        <v>0</v>
      </c>
      <c r="S151" s="68">
        <f>+L151*tab!$F$33</f>
        <v>0</v>
      </c>
      <c r="T151" s="92"/>
      <c r="U151" s="1618"/>
      <c r="V151" s="1499">
        <f>+H151*tab!$F$34</f>
        <v>0</v>
      </c>
      <c r="W151" s="1499">
        <f>+I151*tab!$F$34</f>
        <v>0</v>
      </c>
      <c r="X151" s="1499">
        <f>+J151*tab!$F$34</f>
        <v>0</v>
      </c>
      <c r="Y151" s="1499">
        <f>+K151*tab!$F$34</f>
        <v>0</v>
      </c>
      <c r="Z151" s="1499">
        <f>+L151*tab!$F$34</f>
        <v>0</v>
      </c>
      <c r="AA151" s="92"/>
      <c r="AB151" s="1179"/>
      <c r="AC151" s="1160"/>
      <c r="AD151" s="1160"/>
      <c r="AE151" s="1160"/>
      <c r="AF151" s="1160"/>
      <c r="AG151" s="1160"/>
      <c r="AH151" s="1160"/>
      <c r="AI151" s="1160"/>
      <c r="AJ151" s="1160"/>
      <c r="AK151" s="1160"/>
      <c r="AL151" s="1160"/>
      <c r="AM151" s="1160"/>
      <c r="AN151" s="1160"/>
      <c r="AO151" s="1160"/>
    </row>
    <row r="152" spans="2:52" s="113" customFormat="1" x14ac:dyDescent="0.2">
      <c r="B152" s="1073"/>
      <c r="D152" s="111"/>
      <c r="E152" s="1076"/>
      <c r="F152" s="1077"/>
      <c r="G152" s="1094" t="s">
        <v>610</v>
      </c>
      <c r="H152" s="1118">
        <v>0</v>
      </c>
      <c r="I152" s="1118">
        <f t="shared" si="87"/>
        <v>0</v>
      </c>
      <c r="J152" s="1119">
        <f t="shared" si="88"/>
        <v>0</v>
      </c>
      <c r="K152" s="1119">
        <f t="shared" si="89"/>
        <v>0</v>
      </c>
      <c r="L152" s="1119">
        <f t="shared" si="90"/>
        <v>0</v>
      </c>
      <c r="M152" s="1170"/>
      <c r="N152" s="92"/>
      <c r="O152" s="68">
        <f>+H152*tab!$F$33</f>
        <v>0</v>
      </c>
      <c r="P152" s="68">
        <f>+I152*tab!$F$33</f>
        <v>0</v>
      </c>
      <c r="Q152" s="68">
        <f>+J152*tab!$F$33</f>
        <v>0</v>
      </c>
      <c r="R152" s="68">
        <f>+K152*tab!$F$33</f>
        <v>0</v>
      </c>
      <c r="S152" s="68">
        <f>+L152*tab!$F$33</f>
        <v>0</v>
      </c>
      <c r="T152" s="92"/>
      <c r="U152" s="1618"/>
      <c r="V152" s="1499">
        <f>+H152*tab!$F$34</f>
        <v>0</v>
      </c>
      <c r="W152" s="1499">
        <f>+I152*tab!$F$34</f>
        <v>0</v>
      </c>
      <c r="X152" s="1499">
        <f>+J152*tab!$F$34</f>
        <v>0</v>
      </c>
      <c r="Y152" s="1499">
        <f>+K152*tab!$F$34</f>
        <v>0</v>
      </c>
      <c r="Z152" s="1499">
        <f>+L152*tab!$F$34</f>
        <v>0</v>
      </c>
      <c r="AA152" s="92"/>
      <c r="AB152" s="1179"/>
      <c r="AC152" s="1160"/>
      <c r="AD152" s="1160"/>
      <c r="AE152" s="1160"/>
      <c r="AF152" s="1160"/>
      <c r="AG152" s="1160"/>
      <c r="AH152" s="1160"/>
      <c r="AI152" s="1160"/>
      <c r="AJ152" s="1160"/>
      <c r="AK152" s="1160"/>
      <c r="AL152" s="1160"/>
      <c r="AM152" s="1160"/>
      <c r="AN152" s="1160"/>
      <c r="AO152" s="1160"/>
    </row>
    <row r="153" spans="2:52" s="113" customFormat="1" x14ac:dyDescent="0.2">
      <c r="B153" s="1073"/>
      <c r="D153" s="111">
        <v>49</v>
      </c>
      <c r="E153" s="151" t="s">
        <v>683</v>
      </c>
      <c r="F153" s="1093" t="s">
        <v>312</v>
      </c>
      <c r="G153" s="1094" t="s">
        <v>609</v>
      </c>
      <c r="H153" s="1118">
        <v>0</v>
      </c>
      <c r="I153" s="1118">
        <f t="shared" si="87"/>
        <v>0</v>
      </c>
      <c r="J153" s="1119">
        <f t="shared" si="88"/>
        <v>0</v>
      </c>
      <c r="K153" s="1119">
        <f t="shared" si="89"/>
        <v>0</v>
      </c>
      <c r="L153" s="1119">
        <f t="shared" si="90"/>
        <v>0</v>
      </c>
      <c r="M153" s="1170"/>
      <c r="N153" s="92"/>
      <c r="O153" s="68">
        <f>+H153*tab!$F$33</f>
        <v>0</v>
      </c>
      <c r="P153" s="68">
        <f>+I153*tab!$F$33</f>
        <v>0</v>
      </c>
      <c r="Q153" s="68">
        <f>+J153*tab!$F$33</f>
        <v>0</v>
      </c>
      <c r="R153" s="68">
        <f>+K153*tab!$F$33</f>
        <v>0</v>
      </c>
      <c r="S153" s="68">
        <f>+L153*tab!$F$33</f>
        <v>0</v>
      </c>
      <c r="T153" s="92"/>
      <c r="U153" s="1618"/>
      <c r="V153" s="1499">
        <f>+H153*tab!$F$34</f>
        <v>0</v>
      </c>
      <c r="W153" s="1499">
        <f>+I153*tab!$F$34</f>
        <v>0</v>
      </c>
      <c r="X153" s="1499">
        <f>+J153*tab!$F$34</f>
        <v>0</v>
      </c>
      <c r="Y153" s="1499">
        <f>+K153*tab!$F$34</f>
        <v>0</v>
      </c>
      <c r="Z153" s="1499">
        <f>+L153*tab!$F$34</f>
        <v>0</v>
      </c>
      <c r="AA153" s="92"/>
      <c r="AB153" s="1179"/>
      <c r="AC153" s="1160"/>
      <c r="AD153" s="1160"/>
      <c r="AE153" s="1160"/>
      <c r="AF153" s="1160"/>
      <c r="AG153" s="1160"/>
      <c r="AH153" s="1160"/>
      <c r="AI153" s="1160"/>
      <c r="AJ153" s="1160"/>
      <c r="AK153" s="1160"/>
      <c r="AL153" s="1160"/>
      <c r="AM153" s="1160"/>
      <c r="AN153" s="1160"/>
      <c r="AO153" s="1160"/>
    </row>
    <row r="154" spans="2:52" s="113" customFormat="1" x14ac:dyDescent="0.2">
      <c r="B154" s="1073"/>
      <c r="D154" s="111"/>
      <c r="E154" s="1076"/>
      <c r="F154" s="1077"/>
      <c r="G154" s="1094" t="s">
        <v>610</v>
      </c>
      <c r="H154" s="1118">
        <v>0</v>
      </c>
      <c r="I154" s="1118">
        <f t="shared" si="87"/>
        <v>0</v>
      </c>
      <c r="J154" s="1119">
        <f t="shared" si="88"/>
        <v>0</v>
      </c>
      <c r="K154" s="1119">
        <f t="shared" si="89"/>
        <v>0</v>
      </c>
      <c r="L154" s="1119">
        <f t="shared" si="90"/>
        <v>0</v>
      </c>
      <c r="M154" s="1170"/>
      <c r="N154" s="92"/>
      <c r="O154" s="68">
        <f>+H154*tab!$F$33</f>
        <v>0</v>
      </c>
      <c r="P154" s="68">
        <f>+I154*tab!$F$33</f>
        <v>0</v>
      </c>
      <c r="Q154" s="68">
        <f>+J154*tab!$F$33</f>
        <v>0</v>
      </c>
      <c r="R154" s="68">
        <f>+K154*tab!$F$33</f>
        <v>0</v>
      </c>
      <c r="S154" s="68">
        <f>+L154*tab!$F$33</f>
        <v>0</v>
      </c>
      <c r="T154" s="92"/>
      <c r="U154" s="1618"/>
      <c r="V154" s="1499">
        <f>+H154*tab!$F$34</f>
        <v>0</v>
      </c>
      <c r="W154" s="1499">
        <f>+I154*tab!$F$34</f>
        <v>0</v>
      </c>
      <c r="X154" s="1499">
        <f>+J154*tab!$F$34</f>
        <v>0</v>
      </c>
      <c r="Y154" s="1499">
        <f>+K154*tab!$F$34</f>
        <v>0</v>
      </c>
      <c r="Z154" s="1499">
        <f>+L154*tab!$F$34</f>
        <v>0</v>
      </c>
      <c r="AA154" s="92"/>
      <c r="AB154" s="1179"/>
      <c r="AC154" s="1160"/>
      <c r="AD154" s="1160"/>
      <c r="AE154" s="1160"/>
      <c r="AF154" s="1160"/>
      <c r="AG154" s="1160"/>
      <c r="AH154" s="1160"/>
      <c r="AI154" s="1160"/>
      <c r="AJ154" s="1160"/>
      <c r="AK154" s="1160"/>
      <c r="AL154" s="1160"/>
      <c r="AM154" s="1160"/>
      <c r="AN154" s="1160"/>
      <c r="AO154" s="1160"/>
    </row>
    <row r="155" spans="2:52" s="113" customFormat="1" x14ac:dyDescent="0.2">
      <c r="B155" s="1073"/>
      <c r="D155" s="111">
        <v>50</v>
      </c>
      <c r="E155" s="151" t="s">
        <v>684</v>
      </c>
      <c r="F155" s="1093" t="s">
        <v>312</v>
      </c>
      <c r="G155" s="1094" t="s">
        <v>609</v>
      </c>
      <c r="H155" s="1118">
        <v>0</v>
      </c>
      <c r="I155" s="1118">
        <f t="shared" si="87"/>
        <v>0</v>
      </c>
      <c r="J155" s="1119">
        <f t="shared" si="88"/>
        <v>0</v>
      </c>
      <c r="K155" s="1119">
        <f t="shared" si="89"/>
        <v>0</v>
      </c>
      <c r="L155" s="1119">
        <f t="shared" si="90"/>
        <v>0</v>
      </c>
      <c r="M155" s="1170"/>
      <c r="N155" s="92"/>
      <c r="O155" s="68">
        <f>+H155*tab!$F$33</f>
        <v>0</v>
      </c>
      <c r="P155" s="68">
        <f>+I155*tab!$F$33</f>
        <v>0</v>
      </c>
      <c r="Q155" s="68">
        <f>+J155*tab!$F$33</f>
        <v>0</v>
      </c>
      <c r="R155" s="68">
        <f>+K155*tab!$F$33</f>
        <v>0</v>
      </c>
      <c r="S155" s="68">
        <f>+L155*tab!$F$33</f>
        <v>0</v>
      </c>
      <c r="T155" s="92"/>
      <c r="U155" s="1618"/>
      <c r="V155" s="1499">
        <f>+H155*tab!$F$34</f>
        <v>0</v>
      </c>
      <c r="W155" s="1499">
        <f>+I155*tab!$F$34</f>
        <v>0</v>
      </c>
      <c r="X155" s="1499">
        <f>+J155*tab!$F$34</f>
        <v>0</v>
      </c>
      <c r="Y155" s="1499">
        <f>+K155*tab!$F$34</f>
        <v>0</v>
      </c>
      <c r="Z155" s="1499">
        <f>+L155*tab!$F$34</f>
        <v>0</v>
      </c>
      <c r="AA155" s="92"/>
      <c r="AB155" s="1179"/>
      <c r="AC155" s="1160"/>
      <c r="AD155" s="1160"/>
      <c r="AE155" s="1160"/>
      <c r="AF155" s="1160"/>
      <c r="AG155" s="1160"/>
      <c r="AH155" s="1160"/>
      <c r="AI155" s="1160"/>
      <c r="AJ155" s="1160"/>
      <c r="AK155" s="1160"/>
      <c r="AL155" s="1160"/>
      <c r="AM155" s="1160"/>
      <c r="AN155" s="1160"/>
      <c r="AO155" s="1160"/>
    </row>
    <row r="156" spans="2:52" s="113" customFormat="1" x14ac:dyDescent="0.2">
      <c r="B156" s="1073"/>
      <c r="D156" s="111"/>
      <c r="E156" s="1076"/>
      <c r="F156" s="1077"/>
      <c r="G156" s="1094" t="s">
        <v>610</v>
      </c>
      <c r="H156" s="1118">
        <v>0</v>
      </c>
      <c r="I156" s="1118">
        <f t="shared" si="87"/>
        <v>0</v>
      </c>
      <c r="J156" s="1119">
        <f t="shared" si="88"/>
        <v>0</v>
      </c>
      <c r="K156" s="1119">
        <f t="shared" si="89"/>
        <v>0</v>
      </c>
      <c r="L156" s="1119">
        <f t="shared" si="90"/>
        <v>0</v>
      </c>
      <c r="M156" s="1170"/>
      <c r="N156" s="92"/>
      <c r="O156" s="68">
        <f>+H156*tab!$F$33</f>
        <v>0</v>
      </c>
      <c r="P156" s="68">
        <f>+I156*tab!$F$33</f>
        <v>0</v>
      </c>
      <c r="Q156" s="68">
        <f>+J156*tab!$F$33</f>
        <v>0</v>
      </c>
      <c r="R156" s="68">
        <f>+K156*tab!$F$33</f>
        <v>0</v>
      </c>
      <c r="S156" s="68">
        <f>+L156*tab!$F$33</f>
        <v>0</v>
      </c>
      <c r="T156" s="92"/>
      <c r="U156" s="1618"/>
      <c r="V156" s="1499">
        <f>+H156*tab!$F$34</f>
        <v>0</v>
      </c>
      <c r="W156" s="1499">
        <f>+I156*tab!$F$34</f>
        <v>0</v>
      </c>
      <c r="X156" s="1499">
        <f>+J156*tab!$F$34</f>
        <v>0</v>
      </c>
      <c r="Y156" s="1499">
        <f>+K156*tab!$F$34</f>
        <v>0</v>
      </c>
      <c r="Z156" s="1499">
        <f>+L156*tab!$F$34</f>
        <v>0</v>
      </c>
      <c r="AA156" s="92"/>
      <c r="AB156" s="1179"/>
      <c r="AC156" s="1160"/>
      <c r="AD156" s="1160"/>
      <c r="AE156" s="1160"/>
      <c r="AF156" s="1160"/>
      <c r="AG156" s="1160"/>
      <c r="AH156" s="1160"/>
      <c r="AI156" s="1160"/>
      <c r="AJ156" s="1160"/>
      <c r="AK156" s="1160"/>
      <c r="AL156" s="1160"/>
      <c r="AM156" s="1160"/>
      <c r="AN156" s="1160"/>
      <c r="AO156" s="1160"/>
    </row>
    <row r="157" spans="2:52" s="113" customFormat="1" x14ac:dyDescent="0.2">
      <c r="B157" s="1073"/>
      <c r="C157" s="853"/>
      <c r="D157" s="1060"/>
      <c r="E157" s="1060"/>
      <c r="F157" s="740"/>
      <c r="G157" s="740"/>
      <c r="H157" s="853"/>
      <c r="I157" s="853"/>
      <c r="J157" s="853"/>
      <c r="K157" s="853"/>
      <c r="L157" s="853"/>
      <c r="M157" s="853"/>
      <c r="N157" s="853"/>
      <c r="O157" s="1061"/>
      <c r="P157" s="1061"/>
      <c r="Q157" s="1061"/>
      <c r="R157" s="1061"/>
      <c r="S157" s="1061"/>
      <c r="T157" s="853"/>
      <c r="U157" s="1618"/>
      <c r="V157" s="1061"/>
      <c r="W157" s="1061"/>
      <c r="X157" s="1061"/>
      <c r="Y157" s="1061"/>
      <c r="Z157" s="1061"/>
      <c r="AA157" s="853"/>
      <c r="AB157" s="1179"/>
      <c r="AC157" s="1160"/>
      <c r="AD157" s="1160"/>
      <c r="AE157" s="1160"/>
      <c r="AF157" s="1160"/>
      <c r="AG157" s="1160"/>
      <c r="AH157" s="1160"/>
      <c r="AI157" s="1160"/>
      <c r="AJ157" s="1160"/>
      <c r="AK157" s="1160"/>
      <c r="AL157" s="1160"/>
      <c r="AM157" s="1160"/>
      <c r="AN157" s="1160"/>
      <c r="AO157" s="1160"/>
    </row>
    <row r="158" spans="2:52" s="118" customFormat="1" x14ac:dyDescent="0.2">
      <c r="B158" s="1073"/>
      <c r="C158" s="953"/>
      <c r="D158" s="927" t="s">
        <v>740</v>
      </c>
      <c r="E158" s="1056"/>
      <c r="F158" s="1057"/>
      <c r="G158" s="1057"/>
      <c r="H158" s="1122">
        <f t="shared" ref="H158:L158" si="91">SUM(H57:H156)</f>
        <v>0</v>
      </c>
      <c r="I158" s="1122">
        <f t="shared" si="91"/>
        <v>0</v>
      </c>
      <c r="J158" s="1122">
        <f t="shared" si="91"/>
        <v>0</v>
      </c>
      <c r="K158" s="1122">
        <f t="shared" si="91"/>
        <v>0</v>
      </c>
      <c r="L158" s="1122">
        <f t="shared" si="91"/>
        <v>0</v>
      </c>
      <c r="M158" s="1058">
        <f t="shared" ref="M158" si="92">SUM(M57:M116)</f>
        <v>0</v>
      </c>
      <c r="N158" s="1059"/>
      <c r="O158" s="1116">
        <f t="shared" ref="O158:S158" si="93">ROUND(SUM(O57:O156),0)</f>
        <v>0</v>
      </c>
      <c r="P158" s="1116">
        <f t="shared" si="93"/>
        <v>0</v>
      </c>
      <c r="Q158" s="1116">
        <f t="shared" si="93"/>
        <v>0</v>
      </c>
      <c r="R158" s="1116">
        <f t="shared" si="93"/>
        <v>0</v>
      </c>
      <c r="S158" s="1116">
        <f t="shared" si="93"/>
        <v>0</v>
      </c>
      <c r="T158" s="1059"/>
      <c r="U158" s="1619"/>
      <c r="V158" s="1116">
        <f t="shared" ref="V158:Z158" si="94">ROUND(SUM(V57:V156),0)</f>
        <v>0</v>
      </c>
      <c r="W158" s="1116">
        <f t="shared" si="94"/>
        <v>0</v>
      </c>
      <c r="X158" s="1116">
        <f t="shared" si="94"/>
        <v>0</v>
      </c>
      <c r="Y158" s="1116">
        <f t="shared" si="94"/>
        <v>0</v>
      </c>
      <c r="Z158" s="1116">
        <f t="shared" si="94"/>
        <v>0</v>
      </c>
      <c r="AA158" s="1059"/>
      <c r="AB158" s="1180"/>
      <c r="AC158" s="1160"/>
      <c r="AD158" s="1160"/>
      <c r="AE158" s="1160"/>
      <c r="AF158" s="1160"/>
      <c r="AG158" s="1160"/>
      <c r="AH158" s="1160"/>
      <c r="AI158" s="1160"/>
      <c r="AJ158" s="1160"/>
      <c r="AK158" s="1160"/>
      <c r="AL158" s="1160"/>
      <c r="AM158" s="1160"/>
      <c r="AN158" s="1160"/>
      <c r="AO158" s="1160"/>
    </row>
    <row r="159" spans="2:52" x14ac:dyDescent="0.2">
      <c r="B159" s="1073"/>
      <c r="C159" s="739"/>
      <c r="D159" s="1060"/>
      <c r="E159" s="1060"/>
      <c r="F159" s="740"/>
      <c r="G159" s="740"/>
      <c r="H159" s="853"/>
      <c r="I159" s="853"/>
      <c r="J159" s="853"/>
      <c r="K159" s="853"/>
      <c r="L159" s="853"/>
      <c r="M159" s="853"/>
      <c r="N159" s="853"/>
      <c r="O159" s="739"/>
      <c r="P159" s="739"/>
      <c r="Q159" s="739"/>
      <c r="R159" s="739"/>
      <c r="S159" s="739"/>
      <c r="T159" s="853"/>
      <c r="U159" s="1606"/>
      <c r="V159" s="739"/>
      <c r="W159" s="739"/>
      <c r="X159" s="739"/>
      <c r="Y159" s="739"/>
      <c r="Z159" s="739"/>
      <c r="AA159" s="853"/>
      <c r="AB159" s="945"/>
      <c r="AC159" s="1160"/>
      <c r="AP159" s="110"/>
      <c r="AQ159" s="110"/>
      <c r="AR159" s="110"/>
      <c r="AS159" s="110"/>
      <c r="AT159" s="110"/>
      <c r="AU159" s="110"/>
      <c r="AV159" s="110"/>
      <c r="AW159" s="110"/>
      <c r="AX159" s="110"/>
      <c r="AY159" s="110"/>
      <c r="AZ159" s="110"/>
    </row>
    <row r="160" spans="2:52" x14ac:dyDescent="0.2">
      <c r="B160" s="989"/>
      <c r="C160" s="77"/>
      <c r="D160" s="121"/>
      <c r="E160" s="121"/>
      <c r="F160" s="122"/>
      <c r="G160" s="122"/>
      <c r="H160" s="70"/>
      <c r="I160" s="70"/>
      <c r="J160" s="70"/>
      <c r="K160" s="70"/>
      <c r="L160" s="70"/>
      <c r="M160" s="70"/>
      <c r="N160" s="70"/>
      <c r="O160" s="77"/>
      <c r="P160" s="77"/>
      <c r="Q160" s="77"/>
      <c r="R160" s="77"/>
      <c r="S160" s="77"/>
      <c r="T160" s="70"/>
      <c r="U160" s="944"/>
      <c r="V160" s="77"/>
      <c r="W160" s="77"/>
      <c r="X160" s="77"/>
      <c r="Y160" s="77"/>
      <c r="Z160" s="77"/>
      <c r="AA160" s="70"/>
      <c r="AB160" s="945"/>
      <c r="AC160" s="1160"/>
      <c r="AP160" s="110"/>
      <c r="AQ160" s="110"/>
      <c r="AR160" s="110"/>
      <c r="AS160" s="110"/>
      <c r="AT160" s="110"/>
      <c r="AU160" s="110"/>
      <c r="AV160" s="110"/>
      <c r="AW160" s="110"/>
      <c r="AX160" s="110"/>
      <c r="AY160" s="110"/>
      <c r="AZ160" s="110"/>
    </row>
    <row r="161" spans="2:60" x14ac:dyDescent="0.2">
      <c r="B161" s="1611"/>
      <c r="C161" s="733"/>
      <c r="D161" s="1095"/>
      <c r="E161" s="1095"/>
      <c r="F161" s="1096"/>
      <c r="G161" s="1096"/>
      <c r="H161" s="734"/>
      <c r="I161" s="734"/>
      <c r="J161" s="734"/>
      <c r="K161" s="734"/>
      <c r="L161" s="734"/>
      <c r="M161" s="734"/>
      <c r="N161" s="734"/>
      <c r="O161" s="733"/>
      <c r="P161" s="733"/>
      <c r="Q161" s="733"/>
      <c r="R161" s="733"/>
      <c r="S161" s="733"/>
      <c r="T161" s="734"/>
      <c r="U161" s="1620"/>
      <c r="V161" s="733"/>
      <c r="W161" s="733"/>
      <c r="X161" s="733"/>
      <c r="Y161" s="733"/>
      <c r="Z161" s="733"/>
      <c r="AA161" s="734"/>
      <c r="AB161" s="1107"/>
      <c r="AC161" s="1160"/>
      <c r="AP161" s="110"/>
      <c r="AQ161" s="110"/>
      <c r="AR161" s="110"/>
      <c r="AS161" s="110"/>
      <c r="AT161" s="110"/>
      <c r="AU161" s="110"/>
      <c r="AV161" s="110"/>
      <c r="AW161" s="110"/>
      <c r="AX161" s="110"/>
      <c r="AY161" s="110"/>
      <c r="AZ161" s="110"/>
    </row>
    <row r="163" spans="2:60" s="739" customFormat="1" x14ac:dyDescent="0.2">
      <c r="B163" s="1607"/>
      <c r="C163" s="1607"/>
      <c r="D163" s="1607"/>
      <c r="E163" s="1607"/>
      <c r="F163" s="1607"/>
      <c r="G163" s="1607"/>
      <c r="H163" s="1607"/>
      <c r="I163" s="1607"/>
      <c r="J163" s="1607"/>
      <c r="K163" s="1607"/>
      <c r="L163" s="1607"/>
      <c r="M163" s="1607"/>
      <c r="N163" s="1607"/>
      <c r="O163" s="1607"/>
      <c r="P163" s="1607"/>
      <c r="Q163" s="1607"/>
      <c r="R163" s="1607"/>
      <c r="S163" s="1607"/>
      <c r="T163" s="1607"/>
      <c r="U163" s="1607"/>
      <c r="V163" s="853"/>
      <c r="W163" s="853"/>
      <c r="X163" s="853"/>
      <c r="AC163" s="853"/>
      <c r="AD163" s="1160"/>
      <c r="AE163" s="1160"/>
      <c r="AF163" s="1160"/>
      <c r="AG163" s="1160"/>
      <c r="AH163" s="1160"/>
      <c r="AI163" s="1160"/>
      <c r="AJ163" s="1160"/>
      <c r="AK163" s="1160"/>
      <c r="AL163" s="1160"/>
      <c r="AM163" s="1160"/>
      <c r="AN163" s="1160"/>
      <c r="AO163" s="1160"/>
      <c r="AP163" s="1160"/>
      <c r="AQ163" s="1160"/>
      <c r="AR163" s="1160"/>
      <c r="AS163" s="1160"/>
      <c r="AT163" s="1160"/>
      <c r="AU163" s="1160"/>
      <c r="AV163" s="1160"/>
      <c r="AW163" s="1160"/>
      <c r="AX163" s="1160"/>
      <c r="AY163" s="1160"/>
      <c r="AZ163" s="1160"/>
    </row>
    <row r="164" spans="2:60" s="1605" customFormat="1" x14ac:dyDescent="0.2">
      <c r="B164" s="1607"/>
      <c r="C164" s="1607"/>
      <c r="D164" s="1607"/>
      <c r="E164" s="1607"/>
      <c r="F164" s="1607"/>
      <c r="G164" s="1607"/>
      <c r="H164" s="1607"/>
      <c r="I164" s="1607"/>
      <c r="J164" s="1607"/>
      <c r="K164" s="1607"/>
      <c r="L164" s="1607"/>
      <c r="M164" s="1607"/>
      <c r="N164" s="1607"/>
      <c r="O164" s="1607"/>
      <c r="P164" s="1607"/>
      <c r="Q164" s="1607"/>
      <c r="R164" s="1607"/>
      <c r="S164" s="1607"/>
      <c r="T164" s="1607"/>
      <c r="U164" s="1607"/>
      <c r="V164" s="1186"/>
      <c r="W164" s="1186"/>
      <c r="X164" s="1186"/>
      <c r="AC164" s="1186"/>
      <c r="AD164" s="1160"/>
      <c r="AE164" s="1160"/>
      <c r="AF164" s="1160"/>
      <c r="AG164" s="1160"/>
      <c r="AH164" s="1160"/>
      <c r="AI164" s="1160"/>
      <c r="AJ164" s="1160"/>
      <c r="AK164" s="1160"/>
      <c r="AL164" s="1160"/>
      <c r="AM164" s="1160"/>
      <c r="AN164" s="1160"/>
      <c r="AO164" s="1160"/>
      <c r="AP164" s="1160"/>
      <c r="AQ164" s="1160"/>
      <c r="AR164" s="1160"/>
      <c r="AS164" s="1160"/>
      <c r="AT164" s="1160"/>
      <c r="AU164" s="1160"/>
      <c r="AV164" s="1160"/>
      <c r="AW164" s="1160"/>
      <c r="AX164" s="1160"/>
      <c r="AY164" s="1160"/>
      <c r="AZ164" s="1160"/>
    </row>
    <row r="165" spans="2:60" s="739" customFormat="1" x14ac:dyDescent="0.2">
      <c r="B165" s="1607"/>
      <c r="C165" s="1607"/>
      <c r="D165" s="1607"/>
      <c r="E165" s="1607"/>
      <c r="F165" s="1607"/>
      <c r="G165" s="1607"/>
      <c r="H165" s="1607"/>
      <c r="I165" s="1607"/>
      <c r="J165" s="1607"/>
      <c r="K165" s="1607"/>
      <c r="L165" s="1607"/>
      <c r="M165" s="1607"/>
      <c r="N165" s="1607"/>
      <c r="O165" s="1607"/>
      <c r="P165" s="1607"/>
      <c r="Q165" s="1607"/>
      <c r="R165" s="1607"/>
      <c r="S165" s="1607"/>
      <c r="T165" s="1607"/>
      <c r="U165" s="1607"/>
      <c r="V165" s="853"/>
      <c r="W165" s="853"/>
      <c r="X165" s="853"/>
      <c r="AC165" s="853"/>
      <c r="AD165" s="853"/>
      <c r="AE165" s="853"/>
      <c r="AF165" s="853"/>
      <c r="AG165" s="853"/>
      <c r="AH165" s="853"/>
      <c r="AI165" s="853"/>
      <c r="AJ165" s="853"/>
      <c r="AK165" s="853"/>
      <c r="AL165" s="1160"/>
      <c r="AM165" s="1160"/>
      <c r="AN165" s="1160"/>
      <c r="AO165" s="1160"/>
      <c r="AP165" s="1160"/>
      <c r="AQ165" s="1160"/>
      <c r="AR165" s="1160"/>
      <c r="AS165" s="1160"/>
      <c r="AT165" s="1160"/>
      <c r="AU165" s="1160"/>
      <c r="AV165" s="1160"/>
      <c r="AW165" s="1160"/>
      <c r="AX165" s="1160"/>
      <c r="AY165" s="1160"/>
      <c r="AZ165" s="1160"/>
      <c r="BA165" s="1160"/>
      <c r="BB165" s="1160"/>
      <c r="BC165" s="1160"/>
      <c r="BD165" s="1160"/>
      <c r="BE165" s="1160"/>
      <c r="BF165" s="1160"/>
      <c r="BG165" s="1160"/>
      <c r="BH165" s="1160"/>
    </row>
    <row r="166" spans="2:60" s="739" customFormat="1" x14ac:dyDescent="0.2">
      <c r="B166" s="1607"/>
      <c r="C166" s="1607"/>
      <c r="D166" s="1607"/>
      <c r="E166" s="1607"/>
      <c r="F166" s="1607"/>
      <c r="G166" s="1607"/>
      <c r="H166" s="1607"/>
      <c r="I166" s="1607"/>
      <c r="J166" s="1607"/>
      <c r="K166" s="1607"/>
      <c r="L166" s="1607"/>
      <c r="M166" s="1607"/>
      <c r="N166" s="1607"/>
      <c r="O166" s="1607"/>
      <c r="P166" s="1607"/>
      <c r="Q166" s="1607"/>
      <c r="R166" s="1607"/>
      <c r="S166" s="1607"/>
      <c r="T166" s="1607"/>
      <c r="U166" s="1607"/>
      <c r="V166" s="853"/>
      <c r="W166" s="853"/>
      <c r="X166" s="853"/>
      <c r="AC166" s="853"/>
      <c r="AD166" s="853"/>
      <c r="AE166" s="853"/>
      <c r="AF166" s="853"/>
      <c r="AG166" s="853"/>
      <c r="AH166" s="853"/>
      <c r="AI166" s="853"/>
      <c r="AJ166" s="853"/>
      <c r="AK166" s="853"/>
      <c r="AL166" s="1160"/>
      <c r="AM166" s="1160"/>
      <c r="AN166" s="1160"/>
      <c r="AO166" s="1160"/>
      <c r="AP166" s="1160"/>
      <c r="AQ166" s="1160"/>
      <c r="AR166" s="1160"/>
      <c r="AS166" s="1160"/>
      <c r="AT166" s="1160"/>
      <c r="AU166" s="1160"/>
      <c r="AV166" s="1160"/>
      <c r="AW166" s="1160"/>
      <c r="AX166" s="1160"/>
      <c r="AY166" s="1160"/>
      <c r="AZ166" s="1160"/>
      <c r="BA166" s="1160"/>
      <c r="BB166" s="1160"/>
      <c r="BC166" s="1160"/>
      <c r="BD166" s="1160"/>
      <c r="BE166" s="1160"/>
      <c r="BF166" s="1160"/>
      <c r="BG166" s="1160"/>
      <c r="BH166" s="1160"/>
    </row>
    <row r="167" spans="2:60" s="739" customFormat="1" x14ac:dyDescent="0.2">
      <c r="B167" s="1607"/>
      <c r="C167" s="1607"/>
      <c r="D167" s="1607"/>
      <c r="E167" s="1607"/>
      <c r="F167" s="1607"/>
      <c r="G167" s="1607"/>
      <c r="H167" s="1607"/>
      <c r="I167" s="1607"/>
      <c r="J167" s="1607"/>
      <c r="K167" s="1607"/>
      <c r="L167" s="1607"/>
      <c r="M167" s="1607"/>
      <c r="N167" s="1607"/>
      <c r="O167" s="1607"/>
      <c r="P167" s="1607"/>
      <c r="Q167" s="1607"/>
      <c r="R167" s="1607"/>
      <c r="S167" s="1607"/>
      <c r="T167" s="1607"/>
      <c r="U167" s="1607"/>
      <c r="V167" s="853"/>
      <c r="W167" s="853"/>
      <c r="X167" s="853"/>
      <c r="AC167" s="853"/>
      <c r="AD167" s="853"/>
      <c r="AE167" s="853"/>
      <c r="AF167" s="853"/>
      <c r="AG167" s="853"/>
      <c r="AH167" s="853"/>
      <c r="AI167" s="853"/>
      <c r="AJ167" s="853"/>
      <c r="AK167" s="853"/>
      <c r="AL167" s="1160"/>
      <c r="AM167" s="1160"/>
      <c r="AN167" s="1160"/>
      <c r="AO167" s="1160"/>
      <c r="AP167" s="1160"/>
      <c r="AQ167" s="1160"/>
      <c r="AR167" s="1160"/>
      <c r="AS167" s="1160"/>
      <c r="AT167" s="1160"/>
      <c r="AU167" s="1160"/>
      <c r="AV167" s="1160"/>
      <c r="AW167" s="1160"/>
      <c r="AX167" s="1160"/>
      <c r="AY167" s="1160"/>
      <c r="AZ167" s="1160"/>
      <c r="BA167" s="1160"/>
      <c r="BB167" s="1160"/>
      <c r="BC167" s="1160"/>
      <c r="BD167" s="1160"/>
      <c r="BE167" s="1160"/>
      <c r="BF167" s="1160"/>
      <c r="BG167" s="1160"/>
      <c r="BH167" s="1160"/>
    </row>
    <row r="168" spans="2:60" s="739" customFormat="1" x14ac:dyDescent="0.2">
      <c r="B168" s="1607"/>
      <c r="C168" s="1607"/>
      <c r="D168" s="1607"/>
      <c r="E168" s="1607"/>
      <c r="F168" s="1607"/>
      <c r="G168" s="1607"/>
      <c r="H168" s="1607"/>
      <c r="I168" s="1607"/>
      <c r="J168" s="1607"/>
      <c r="K168" s="1607"/>
      <c r="L168" s="1607"/>
      <c r="M168" s="1607"/>
      <c r="N168" s="1607"/>
      <c r="O168" s="1607"/>
      <c r="P168" s="1607"/>
      <c r="Q168" s="1607"/>
      <c r="R168" s="1607"/>
      <c r="S168" s="1607"/>
      <c r="T168" s="1607"/>
      <c r="U168" s="1607"/>
      <c r="V168" s="853"/>
      <c r="W168" s="853"/>
      <c r="X168" s="853"/>
      <c r="AC168" s="853"/>
      <c r="AD168" s="853"/>
      <c r="AE168" s="853"/>
      <c r="AF168" s="853"/>
      <c r="AG168" s="853"/>
      <c r="AH168" s="853"/>
      <c r="AI168" s="853"/>
      <c r="AJ168" s="853"/>
      <c r="AK168" s="853"/>
      <c r="AL168" s="1160"/>
      <c r="AM168" s="1160"/>
      <c r="AN168" s="1160"/>
      <c r="AO168" s="1160"/>
      <c r="AP168" s="1160"/>
      <c r="AQ168" s="1160"/>
      <c r="AR168" s="1160"/>
      <c r="AS168" s="1160"/>
      <c r="AT168" s="1160"/>
      <c r="AU168" s="1160"/>
      <c r="AV168" s="1160"/>
      <c r="AW168" s="1160"/>
      <c r="AX168" s="1160"/>
      <c r="AY168" s="1160"/>
      <c r="AZ168" s="1160"/>
      <c r="BA168" s="1160"/>
      <c r="BB168" s="1160"/>
      <c r="BC168" s="1160"/>
      <c r="BD168" s="1160"/>
      <c r="BE168" s="1160"/>
      <c r="BF168" s="1160"/>
      <c r="BG168" s="1160"/>
      <c r="BH168" s="1160"/>
    </row>
    <row r="169" spans="2:60" s="739" customFormat="1" x14ac:dyDescent="0.2">
      <c r="B169" s="1607"/>
      <c r="C169" s="1607"/>
      <c r="D169" s="1607"/>
      <c r="E169" s="1607"/>
      <c r="F169" s="1607"/>
      <c r="G169" s="1607"/>
      <c r="H169" s="1607"/>
      <c r="I169" s="1607"/>
      <c r="J169" s="1607"/>
      <c r="K169" s="1607"/>
      <c r="L169" s="1607"/>
      <c r="M169" s="1607"/>
      <c r="N169" s="1607"/>
      <c r="O169" s="1607"/>
      <c r="P169" s="1607"/>
      <c r="Q169" s="1607"/>
      <c r="R169" s="1607"/>
      <c r="S169" s="1607"/>
      <c r="T169" s="1607"/>
      <c r="U169" s="1607"/>
      <c r="V169" s="853"/>
      <c r="W169" s="853"/>
      <c r="X169" s="853"/>
      <c r="AC169" s="853"/>
      <c r="AD169" s="853"/>
      <c r="AE169" s="853"/>
      <c r="AF169" s="853"/>
      <c r="AG169" s="853"/>
      <c r="AH169" s="853"/>
      <c r="AI169" s="853"/>
      <c r="AJ169" s="853"/>
      <c r="AK169" s="853"/>
      <c r="AL169" s="1160"/>
      <c r="AM169" s="1160"/>
      <c r="AN169" s="1160"/>
      <c r="AO169" s="1160"/>
      <c r="AP169" s="1160"/>
      <c r="AQ169" s="1160"/>
      <c r="AR169" s="1160"/>
      <c r="AS169" s="1160"/>
      <c r="AT169" s="1160"/>
      <c r="AU169" s="1160"/>
      <c r="AV169" s="1160"/>
      <c r="AW169" s="1160"/>
      <c r="AX169" s="1160"/>
      <c r="AY169" s="1160"/>
      <c r="AZ169" s="1160"/>
      <c r="BA169" s="1160"/>
      <c r="BB169" s="1160"/>
      <c r="BC169" s="1160"/>
      <c r="BD169" s="1160"/>
      <c r="BE169" s="1160"/>
      <c r="BF169" s="1160"/>
      <c r="BG169" s="1160"/>
      <c r="BH169" s="1160"/>
    </row>
    <row r="170" spans="2:60" s="739" customFormat="1" x14ac:dyDescent="0.2">
      <c r="B170" s="1607"/>
      <c r="C170" s="1607"/>
      <c r="D170" s="1607"/>
      <c r="E170" s="1607"/>
      <c r="F170" s="1607"/>
      <c r="G170" s="1607"/>
      <c r="H170" s="1607"/>
      <c r="I170" s="1607"/>
      <c r="J170" s="1607"/>
      <c r="K170" s="1607"/>
      <c r="L170" s="1607"/>
      <c r="M170" s="1607"/>
      <c r="N170" s="1607"/>
      <c r="O170" s="1607"/>
      <c r="P170" s="1607"/>
      <c r="Q170" s="1607"/>
      <c r="R170" s="1607"/>
      <c r="S170" s="1607"/>
      <c r="T170" s="1607"/>
      <c r="U170" s="1607"/>
      <c r="V170" s="853"/>
      <c r="W170" s="853"/>
      <c r="X170" s="853"/>
      <c r="AC170" s="853"/>
      <c r="AD170" s="853"/>
      <c r="AE170" s="853"/>
      <c r="AF170" s="853"/>
      <c r="AG170" s="853"/>
      <c r="AH170" s="853"/>
      <c r="AI170" s="853"/>
      <c r="AJ170" s="853"/>
      <c r="AK170" s="853"/>
      <c r="AL170" s="1160"/>
      <c r="AM170" s="1160"/>
      <c r="AN170" s="1160"/>
      <c r="AO170" s="1160"/>
      <c r="AP170" s="1160"/>
      <c r="AQ170" s="1160"/>
      <c r="AR170" s="1160"/>
      <c r="AS170" s="1160"/>
      <c r="AT170" s="1160"/>
      <c r="AU170" s="1160"/>
      <c r="AV170" s="1160"/>
      <c r="AW170" s="1160"/>
      <c r="AX170" s="1160"/>
      <c r="AY170" s="1160"/>
      <c r="AZ170" s="1160"/>
      <c r="BA170" s="1160"/>
      <c r="BB170" s="1160"/>
      <c r="BC170" s="1160"/>
      <c r="BD170" s="1160"/>
      <c r="BE170" s="1160"/>
      <c r="BF170" s="1160"/>
      <c r="BG170" s="1160"/>
      <c r="BH170" s="1160"/>
    </row>
    <row r="171" spans="2:60" s="739" customFormat="1" x14ac:dyDescent="0.2">
      <c r="B171" s="1607"/>
      <c r="C171" s="1607"/>
      <c r="D171" s="1607"/>
      <c r="E171" s="1607"/>
      <c r="F171" s="1607"/>
      <c r="G171" s="1607"/>
      <c r="H171" s="1607"/>
      <c r="I171" s="1607"/>
      <c r="J171" s="1607"/>
      <c r="K171" s="1607"/>
      <c r="L171" s="1607"/>
      <c r="M171" s="1607"/>
      <c r="N171" s="1607"/>
      <c r="O171" s="1607"/>
      <c r="P171" s="1607"/>
      <c r="Q171" s="1607"/>
      <c r="R171" s="1607"/>
      <c r="S171" s="1607"/>
      <c r="T171" s="1607"/>
      <c r="U171" s="1607"/>
      <c r="V171" s="853"/>
      <c r="W171" s="853"/>
      <c r="X171" s="853"/>
      <c r="AC171" s="853"/>
      <c r="AD171" s="853"/>
      <c r="AE171" s="853"/>
      <c r="AF171" s="853"/>
      <c r="AG171" s="853"/>
      <c r="AH171" s="853"/>
      <c r="AI171" s="853"/>
      <c r="AJ171" s="853"/>
      <c r="AK171" s="853"/>
      <c r="AL171" s="1160"/>
      <c r="AM171" s="1160"/>
      <c r="AN171" s="1160"/>
      <c r="AO171" s="1160"/>
      <c r="AP171" s="1160"/>
      <c r="AQ171" s="1160"/>
      <c r="AR171" s="1160"/>
      <c r="AS171" s="1160"/>
      <c r="AT171" s="1160"/>
      <c r="AU171" s="1160"/>
      <c r="AV171" s="1160"/>
      <c r="AW171" s="1160"/>
      <c r="AX171" s="1160"/>
      <c r="AY171" s="1160"/>
      <c r="AZ171" s="1160"/>
      <c r="BA171" s="1160"/>
      <c r="BB171" s="1160"/>
      <c r="BC171" s="1160"/>
      <c r="BD171" s="1160"/>
      <c r="BE171" s="1160"/>
      <c r="BF171" s="1160"/>
      <c r="BG171" s="1160"/>
      <c r="BH171" s="1160"/>
    </row>
    <row r="172" spans="2:60" s="739" customFormat="1" x14ac:dyDescent="0.2">
      <c r="B172" s="1607"/>
      <c r="C172" s="1607"/>
      <c r="D172" s="1607"/>
      <c r="E172" s="1607"/>
      <c r="F172" s="1607"/>
      <c r="G172" s="1607"/>
      <c r="H172" s="1607"/>
      <c r="I172" s="1607"/>
      <c r="J172" s="1607"/>
      <c r="K172" s="1607"/>
      <c r="L172" s="1607"/>
      <c r="M172" s="1607"/>
      <c r="N172" s="1607"/>
      <c r="O172" s="1607"/>
      <c r="P172" s="1607"/>
      <c r="Q172" s="1607"/>
      <c r="R172" s="1607"/>
      <c r="S172" s="1607"/>
      <c r="T172" s="1607"/>
      <c r="U172" s="1607"/>
      <c r="V172" s="853"/>
      <c r="W172" s="853"/>
      <c r="X172" s="853"/>
      <c r="AC172" s="853"/>
      <c r="AD172" s="853"/>
      <c r="AE172" s="853"/>
      <c r="AF172" s="853"/>
      <c r="AG172" s="853"/>
      <c r="AH172" s="853"/>
      <c r="AI172" s="853"/>
      <c r="AJ172" s="853"/>
      <c r="AK172" s="853"/>
      <c r="AL172" s="1160"/>
      <c r="AM172" s="1160"/>
      <c r="AN172" s="1160"/>
      <c r="AO172" s="1160"/>
      <c r="AP172" s="1160"/>
      <c r="AQ172" s="1160"/>
      <c r="AR172" s="1160"/>
      <c r="AS172" s="1160"/>
      <c r="AT172" s="1160"/>
      <c r="AU172" s="1160"/>
      <c r="AV172" s="1160"/>
      <c r="AW172" s="1160"/>
      <c r="AX172" s="1160"/>
      <c r="AY172" s="1160"/>
      <c r="AZ172" s="1160"/>
      <c r="BA172" s="1160"/>
      <c r="BB172" s="1160"/>
      <c r="BC172" s="1160"/>
      <c r="BD172" s="1160"/>
      <c r="BE172" s="1160"/>
      <c r="BF172" s="1160"/>
      <c r="BG172" s="1160"/>
      <c r="BH172" s="1160"/>
    </row>
    <row r="173" spans="2:60" s="739" customFormat="1" x14ac:dyDescent="0.2">
      <c r="B173" s="1607"/>
      <c r="C173" s="1607"/>
      <c r="D173" s="1607"/>
      <c r="E173" s="1607"/>
      <c r="F173" s="1607"/>
      <c r="G173" s="1607"/>
      <c r="H173" s="1607"/>
      <c r="I173" s="1607"/>
      <c r="J173" s="1607"/>
      <c r="K173" s="1607"/>
      <c r="L173" s="1607"/>
      <c r="M173" s="1607"/>
      <c r="N173" s="1607"/>
      <c r="O173" s="1607"/>
      <c r="P173" s="1607"/>
      <c r="Q173" s="1607"/>
      <c r="R173" s="1607"/>
      <c r="S173" s="1607"/>
      <c r="T173" s="1607"/>
      <c r="U173" s="1607"/>
      <c r="V173" s="853"/>
      <c r="W173" s="853"/>
      <c r="X173" s="853"/>
      <c r="AC173" s="853"/>
      <c r="AD173" s="853"/>
      <c r="AE173" s="853"/>
      <c r="AF173" s="853"/>
      <c r="AG173" s="853"/>
      <c r="AH173" s="853"/>
      <c r="AI173" s="853"/>
      <c r="AJ173" s="853"/>
      <c r="AK173" s="853"/>
      <c r="AL173" s="1160"/>
      <c r="AM173" s="1160"/>
      <c r="AN173" s="1160"/>
      <c r="AO173" s="1160"/>
      <c r="AP173" s="1160"/>
      <c r="AQ173" s="1160"/>
      <c r="AR173" s="1160"/>
      <c r="AS173" s="1160"/>
      <c r="AT173" s="1160"/>
      <c r="AU173" s="1160"/>
      <c r="AV173" s="1160"/>
      <c r="AW173" s="1160"/>
      <c r="AX173" s="1160"/>
      <c r="AY173" s="1160"/>
      <c r="AZ173" s="1160"/>
      <c r="BA173" s="1160"/>
      <c r="BB173" s="1160"/>
      <c r="BC173" s="1160"/>
      <c r="BD173" s="1160"/>
      <c r="BE173" s="1160"/>
      <c r="BF173" s="1160"/>
      <c r="BG173" s="1160"/>
      <c r="BH173" s="1160"/>
    </row>
    <row r="174" spans="2:60" s="1605" customFormat="1" x14ac:dyDescent="0.2">
      <c r="B174" s="1607"/>
      <c r="C174" s="1607"/>
      <c r="D174" s="1607"/>
      <c r="E174" s="1607"/>
      <c r="F174" s="1607"/>
      <c r="G174" s="1607"/>
      <c r="H174" s="1607"/>
      <c r="I174" s="1607"/>
      <c r="J174" s="1607"/>
      <c r="K174" s="1607"/>
      <c r="L174" s="1607"/>
      <c r="M174" s="1607"/>
      <c r="N174" s="1607"/>
      <c r="O174" s="1607"/>
      <c r="P174" s="1607"/>
      <c r="Q174" s="1607"/>
      <c r="R174" s="1607"/>
      <c r="S174" s="1607"/>
      <c r="T174" s="1607"/>
      <c r="U174" s="1607"/>
      <c r="V174" s="1186"/>
      <c r="W174" s="1186"/>
      <c r="X174" s="1186"/>
      <c r="AC174" s="1186"/>
      <c r="AD174" s="1186"/>
      <c r="AE174" s="1186"/>
      <c r="AF174" s="1186"/>
      <c r="AG174" s="1186"/>
      <c r="AH174" s="1186"/>
      <c r="AI174" s="1186"/>
      <c r="AJ174" s="1186"/>
      <c r="AK174" s="1186"/>
      <c r="AL174" s="1160"/>
      <c r="AM174" s="1160"/>
      <c r="AN174" s="1160"/>
      <c r="AO174" s="1160"/>
      <c r="AP174" s="1160"/>
      <c r="AQ174" s="1160"/>
      <c r="AR174" s="1160"/>
      <c r="AS174" s="1160"/>
      <c r="AT174" s="1160"/>
      <c r="AU174" s="1160"/>
      <c r="AV174" s="1160"/>
      <c r="AW174" s="1160"/>
      <c r="AX174" s="1160"/>
      <c r="AY174" s="1160"/>
      <c r="AZ174" s="1160"/>
      <c r="BA174" s="1160"/>
      <c r="BB174" s="1160"/>
      <c r="BC174" s="1160"/>
      <c r="BD174" s="1160"/>
      <c r="BE174" s="1160"/>
      <c r="BF174" s="1160"/>
      <c r="BG174" s="1160"/>
      <c r="BH174" s="1160"/>
    </row>
    <row r="175" spans="2:60" s="739" customFormat="1" x14ac:dyDescent="0.2">
      <c r="B175" s="1607"/>
      <c r="C175" s="1607"/>
      <c r="D175" s="1607"/>
      <c r="E175" s="1607"/>
      <c r="F175" s="1607"/>
      <c r="G175" s="1607"/>
      <c r="H175" s="1607"/>
      <c r="I175" s="1607"/>
      <c r="J175" s="1607"/>
      <c r="K175" s="1607"/>
      <c r="L175" s="1607"/>
      <c r="M175" s="1607"/>
      <c r="N175" s="1607"/>
      <c r="O175" s="1607"/>
      <c r="P175" s="1607"/>
      <c r="Q175" s="1607"/>
      <c r="R175" s="1607"/>
      <c r="S175" s="1607"/>
      <c r="T175" s="1607"/>
      <c r="U175" s="1607"/>
      <c r="V175" s="853"/>
      <c r="W175" s="853"/>
      <c r="X175" s="853"/>
      <c r="AC175" s="853"/>
      <c r="AD175" s="853"/>
      <c r="AE175" s="853"/>
      <c r="AF175" s="853"/>
      <c r="AG175" s="853"/>
      <c r="AH175" s="853"/>
      <c r="AI175" s="853"/>
      <c r="AJ175" s="853"/>
      <c r="AK175" s="853"/>
      <c r="AL175" s="1160"/>
      <c r="AM175" s="1160"/>
      <c r="AN175" s="1160"/>
      <c r="AO175" s="1160"/>
      <c r="AP175" s="1160"/>
      <c r="AQ175" s="1160"/>
      <c r="AR175" s="1160"/>
      <c r="AS175" s="1160"/>
      <c r="AT175" s="1160"/>
      <c r="AU175" s="1160"/>
      <c r="AV175" s="1160"/>
      <c r="AW175" s="1160"/>
      <c r="AX175" s="1160"/>
      <c r="AY175" s="1160"/>
      <c r="AZ175" s="1160"/>
      <c r="BA175" s="1160"/>
      <c r="BB175" s="1160"/>
      <c r="BC175" s="1160"/>
      <c r="BD175" s="1160"/>
      <c r="BE175" s="1160"/>
      <c r="BF175" s="1160"/>
      <c r="BG175" s="1160"/>
      <c r="BH175" s="1160"/>
    </row>
    <row r="176" spans="2:60" s="739" customFormat="1" x14ac:dyDescent="0.2">
      <c r="B176" s="1607"/>
      <c r="C176" s="1607"/>
      <c r="D176" s="1607"/>
      <c r="E176" s="1607"/>
      <c r="F176" s="1607"/>
      <c r="G176" s="1607"/>
      <c r="H176" s="1607"/>
      <c r="I176" s="1607"/>
      <c r="J176" s="1607"/>
      <c r="K176" s="1607"/>
      <c r="L176" s="1607"/>
      <c r="M176" s="1607"/>
      <c r="N176" s="1607"/>
      <c r="O176" s="1607"/>
      <c r="P176" s="1607"/>
      <c r="Q176" s="1607"/>
      <c r="R176" s="1607"/>
      <c r="S176" s="1607"/>
      <c r="T176" s="1607"/>
      <c r="U176" s="1607"/>
      <c r="V176" s="853"/>
      <c r="W176" s="853"/>
      <c r="X176" s="853"/>
      <c r="AC176" s="853"/>
      <c r="AD176" s="853"/>
      <c r="AE176" s="853"/>
      <c r="AF176" s="853"/>
      <c r="AG176" s="853"/>
      <c r="AH176" s="853"/>
      <c r="AI176" s="853"/>
      <c r="AJ176" s="853"/>
      <c r="AK176" s="853"/>
      <c r="AL176" s="1160"/>
      <c r="AM176" s="1160"/>
      <c r="AN176" s="1160"/>
      <c r="AO176" s="1160"/>
      <c r="AP176" s="1160"/>
      <c r="AQ176" s="1160"/>
      <c r="AR176" s="1160"/>
      <c r="AS176" s="1160"/>
      <c r="AT176" s="1160"/>
      <c r="AU176" s="1160"/>
      <c r="AV176" s="1160"/>
      <c r="AW176" s="1160"/>
      <c r="AX176" s="1160"/>
      <c r="AY176" s="1160"/>
      <c r="AZ176" s="1160"/>
      <c r="BA176" s="1160"/>
      <c r="BB176" s="1160"/>
      <c r="BC176" s="1160"/>
      <c r="BD176" s="1160"/>
      <c r="BE176" s="1160"/>
      <c r="BF176" s="1160"/>
      <c r="BG176" s="1160"/>
      <c r="BH176" s="1160"/>
    </row>
    <row r="177" spans="2:60" s="739" customFormat="1" x14ac:dyDescent="0.2">
      <c r="B177" s="1607"/>
      <c r="C177" s="1607"/>
      <c r="D177" s="1607"/>
      <c r="E177" s="1607"/>
      <c r="F177" s="1607"/>
      <c r="G177" s="1607"/>
      <c r="H177" s="1607"/>
      <c r="I177" s="1607"/>
      <c r="J177" s="1607"/>
      <c r="K177" s="1607"/>
      <c r="L177" s="1607"/>
      <c r="M177" s="1607"/>
      <c r="N177" s="1607"/>
      <c r="O177" s="1607"/>
      <c r="P177" s="1607"/>
      <c r="Q177" s="1607"/>
      <c r="R177" s="1607"/>
      <c r="S177" s="1607"/>
      <c r="T177" s="1607"/>
      <c r="U177" s="1607"/>
      <c r="V177" s="853"/>
      <c r="W177" s="853"/>
      <c r="X177" s="853"/>
      <c r="AC177" s="853"/>
      <c r="AD177" s="853"/>
      <c r="AE177" s="853"/>
      <c r="AF177" s="853"/>
      <c r="AG177" s="853"/>
      <c r="AH177" s="853"/>
      <c r="AI177" s="853"/>
      <c r="AJ177" s="853"/>
      <c r="AK177" s="853"/>
      <c r="AL177" s="1160"/>
      <c r="AM177" s="1160"/>
      <c r="AN177" s="1160"/>
      <c r="AO177" s="1160"/>
      <c r="AP177" s="1160"/>
      <c r="AQ177" s="1160"/>
      <c r="AR177" s="1160"/>
      <c r="AS177" s="1160"/>
      <c r="AT177" s="1160"/>
      <c r="AU177" s="1160"/>
      <c r="AV177" s="1160"/>
      <c r="AW177" s="1160"/>
      <c r="AX177" s="1160"/>
      <c r="AY177" s="1160"/>
      <c r="AZ177" s="1160"/>
      <c r="BA177" s="1160"/>
      <c r="BB177" s="1160"/>
      <c r="BC177" s="1160"/>
      <c r="BD177" s="1160"/>
      <c r="BE177" s="1160"/>
      <c r="BF177" s="1160"/>
      <c r="BG177" s="1160"/>
      <c r="BH177" s="1160"/>
    </row>
    <row r="178" spans="2:60" s="739" customFormat="1" x14ac:dyDescent="0.2">
      <c r="B178" s="1607"/>
      <c r="C178" s="1607"/>
      <c r="D178" s="1607"/>
      <c r="E178" s="1607"/>
      <c r="F178" s="1607"/>
      <c r="G178" s="1607"/>
      <c r="H178" s="1607"/>
      <c r="I178" s="1607"/>
      <c r="J178" s="1607"/>
      <c r="K178" s="1607"/>
      <c r="L178" s="1607"/>
      <c r="M178" s="1607"/>
      <c r="N178" s="1607"/>
      <c r="O178" s="1607"/>
      <c r="P178" s="1607"/>
      <c r="Q178" s="1607"/>
      <c r="R178" s="1607"/>
      <c r="S178" s="1607"/>
      <c r="T178" s="1607"/>
      <c r="U178" s="1607"/>
      <c r="V178" s="853"/>
      <c r="W178" s="853"/>
      <c r="X178" s="853"/>
      <c r="AC178" s="853"/>
      <c r="AD178" s="853"/>
      <c r="AE178" s="853"/>
      <c r="AF178" s="853"/>
      <c r="AG178" s="853"/>
      <c r="AH178" s="853"/>
      <c r="AI178" s="853"/>
      <c r="AJ178" s="853"/>
      <c r="AK178" s="853"/>
      <c r="AL178" s="1160"/>
      <c r="AM178" s="1160"/>
      <c r="AN178" s="1160"/>
      <c r="AO178" s="1160"/>
      <c r="AP178" s="1160"/>
      <c r="AQ178" s="1160"/>
      <c r="AR178" s="1160"/>
      <c r="AS178" s="1160"/>
      <c r="AT178" s="1160"/>
      <c r="AU178" s="1160"/>
      <c r="AV178" s="1160"/>
      <c r="AW178" s="1160"/>
      <c r="AX178" s="1160"/>
      <c r="AY178" s="1160"/>
      <c r="AZ178" s="1160"/>
      <c r="BA178" s="1160"/>
      <c r="BB178" s="1160"/>
      <c r="BC178" s="1160"/>
      <c r="BD178" s="1160"/>
      <c r="BE178" s="1160"/>
      <c r="BF178" s="1160"/>
      <c r="BG178" s="1160"/>
      <c r="BH178" s="1160"/>
    </row>
    <row r="179" spans="2:60" s="1605" customFormat="1" x14ac:dyDescent="0.2">
      <c r="B179" s="1607"/>
      <c r="C179" s="1607"/>
      <c r="D179" s="1607"/>
      <c r="E179" s="1607"/>
      <c r="F179" s="1607"/>
      <c r="G179" s="1607"/>
      <c r="H179" s="1607"/>
      <c r="I179" s="1607"/>
      <c r="J179" s="1607"/>
      <c r="K179" s="1607"/>
      <c r="L179" s="1607"/>
      <c r="M179" s="1607"/>
      <c r="N179" s="1607"/>
      <c r="O179" s="1607"/>
      <c r="P179" s="1607"/>
      <c r="Q179" s="1607"/>
      <c r="R179" s="1607"/>
      <c r="S179" s="1607"/>
      <c r="T179" s="1607"/>
      <c r="U179" s="1607"/>
      <c r="V179" s="1186"/>
      <c r="W179" s="1186"/>
      <c r="X179" s="1186"/>
      <c r="AC179" s="1186"/>
      <c r="AD179" s="1186"/>
      <c r="AE179" s="1186"/>
      <c r="AF179" s="1186"/>
      <c r="AG179" s="1186"/>
      <c r="AH179" s="1186"/>
      <c r="AI179" s="1186"/>
      <c r="AJ179" s="1186"/>
      <c r="AK179" s="1186"/>
      <c r="AL179" s="1160"/>
      <c r="AM179" s="1160"/>
      <c r="AN179" s="1160"/>
      <c r="AO179" s="1160"/>
      <c r="AP179" s="1160"/>
      <c r="AQ179" s="1160"/>
      <c r="AR179" s="1160"/>
      <c r="AS179" s="1160"/>
      <c r="AT179" s="1160"/>
      <c r="AU179" s="1160"/>
      <c r="AV179" s="1160"/>
      <c r="AW179" s="1160"/>
      <c r="AX179" s="1160"/>
      <c r="AY179" s="1160"/>
      <c r="AZ179" s="1160"/>
      <c r="BA179" s="1160"/>
      <c r="BB179" s="1160"/>
      <c r="BC179" s="1160"/>
      <c r="BD179" s="1160"/>
      <c r="BE179" s="1160"/>
      <c r="BF179" s="1160"/>
      <c r="BG179" s="1160"/>
      <c r="BH179" s="1160"/>
    </row>
    <row r="180" spans="2:60" s="739" customFormat="1" x14ac:dyDescent="0.2">
      <c r="B180" s="1607"/>
      <c r="C180" s="1607"/>
      <c r="D180" s="1607"/>
      <c r="E180" s="1607"/>
      <c r="F180" s="1607"/>
      <c r="G180" s="1607"/>
      <c r="H180" s="1607"/>
      <c r="I180" s="1607"/>
      <c r="J180" s="1607"/>
      <c r="K180" s="1607"/>
      <c r="L180" s="1607"/>
      <c r="M180" s="1607"/>
      <c r="N180" s="1607"/>
      <c r="O180" s="1607"/>
      <c r="P180" s="1607"/>
      <c r="Q180" s="1607"/>
      <c r="R180" s="1607"/>
      <c r="S180" s="1607"/>
      <c r="T180" s="1607"/>
      <c r="U180" s="1607"/>
      <c r="V180" s="853"/>
      <c r="W180" s="853"/>
      <c r="X180" s="853"/>
      <c r="AC180" s="853"/>
      <c r="AD180" s="853"/>
      <c r="AE180" s="853"/>
      <c r="AF180" s="853"/>
      <c r="AG180" s="853"/>
      <c r="AH180" s="853"/>
      <c r="AI180" s="853"/>
      <c r="AJ180" s="853"/>
      <c r="AK180" s="853"/>
      <c r="AL180" s="1160"/>
      <c r="AM180" s="1160"/>
      <c r="AN180" s="1160"/>
      <c r="AO180" s="1160"/>
      <c r="AP180" s="1160"/>
      <c r="AQ180" s="1160"/>
      <c r="AR180" s="1160"/>
      <c r="AS180" s="1160"/>
      <c r="AT180" s="1160"/>
      <c r="AU180" s="1160"/>
      <c r="AV180" s="1160"/>
      <c r="AW180" s="1160"/>
      <c r="AX180" s="1160"/>
      <c r="AY180" s="1160"/>
      <c r="AZ180" s="1160"/>
      <c r="BA180" s="1160"/>
      <c r="BB180" s="1160"/>
      <c r="BC180" s="1160"/>
      <c r="BD180" s="1160"/>
      <c r="BE180" s="1160"/>
      <c r="BF180" s="1160"/>
      <c r="BG180" s="1160"/>
      <c r="BH180" s="1160"/>
    </row>
    <row r="181" spans="2:60" s="739" customFormat="1" x14ac:dyDescent="0.2">
      <c r="B181" s="1607"/>
      <c r="C181" s="1607"/>
      <c r="D181" s="1607"/>
      <c r="E181" s="1607"/>
      <c r="F181" s="1607"/>
      <c r="G181" s="1607"/>
      <c r="H181" s="1607"/>
      <c r="I181" s="1607"/>
      <c r="J181" s="1607"/>
      <c r="K181" s="1607"/>
      <c r="L181" s="1607"/>
      <c r="M181" s="1607"/>
      <c r="N181" s="1607"/>
      <c r="O181" s="1607"/>
      <c r="P181" s="1607"/>
      <c r="Q181" s="1607"/>
      <c r="R181" s="1607"/>
      <c r="S181" s="1607"/>
      <c r="T181" s="1607"/>
      <c r="U181" s="1607"/>
      <c r="V181" s="853"/>
      <c r="W181" s="853"/>
      <c r="X181" s="853"/>
      <c r="AC181" s="853"/>
      <c r="AD181" s="853"/>
      <c r="AE181" s="853"/>
      <c r="AF181" s="853"/>
      <c r="AG181" s="853"/>
      <c r="AH181" s="853"/>
      <c r="AI181" s="853"/>
      <c r="AJ181" s="853"/>
      <c r="AK181" s="853"/>
      <c r="AL181" s="1160"/>
      <c r="AM181" s="1160"/>
      <c r="AN181" s="1160"/>
      <c r="AO181" s="1160"/>
      <c r="AP181" s="1160"/>
      <c r="AQ181" s="1160"/>
      <c r="AR181" s="1160"/>
      <c r="AS181" s="1160"/>
      <c r="AT181" s="1160"/>
      <c r="AU181" s="1160"/>
      <c r="AV181" s="1160"/>
      <c r="AW181" s="1160"/>
      <c r="AX181" s="1160"/>
      <c r="AY181" s="1160"/>
      <c r="AZ181" s="1160"/>
      <c r="BA181" s="1160"/>
      <c r="BB181" s="1160"/>
      <c r="BC181" s="1160"/>
      <c r="BD181" s="1160"/>
      <c r="BE181" s="1160"/>
      <c r="BF181" s="1160"/>
      <c r="BG181" s="1160"/>
      <c r="BH181" s="1160"/>
    </row>
    <row r="182" spans="2:60" s="739" customFormat="1" x14ac:dyDescent="0.2">
      <c r="B182" s="1607"/>
      <c r="C182" s="1607"/>
      <c r="D182" s="1607"/>
      <c r="E182" s="1607"/>
      <c r="F182" s="1607"/>
      <c r="G182" s="1607"/>
      <c r="H182" s="1607"/>
      <c r="I182" s="1607"/>
      <c r="J182" s="1607"/>
      <c r="K182" s="1607"/>
      <c r="L182" s="1607"/>
      <c r="M182" s="1607"/>
      <c r="N182" s="1607"/>
      <c r="O182" s="1607"/>
      <c r="P182" s="1607"/>
      <c r="Q182" s="1607"/>
      <c r="R182" s="1607"/>
      <c r="S182" s="1607"/>
      <c r="T182" s="1607"/>
      <c r="U182" s="1607"/>
      <c r="V182" s="853"/>
      <c r="W182" s="853"/>
      <c r="X182" s="853"/>
      <c r="AC182" s="853"/>
      <c r="AD182" s="853"/>
      <c r="AE182" s="853"/>
      <c r="AF182" s="853"/>
      <c r="AG182" s="853"/>
      <c r="AH182" s="853"/>
      <c r="AI182" s="853"/>
      <c r="AJ182" s="853"/>
      <c r="AK182" s="853"/>
      <c r="AL182" s="1160"/>
      <c r="AM182" s="1160"/>
      <c r="AN182" s="1160"/>
      <c r="AO182" s="1160"/>
      <c r="AP182" s="1160"/>
      <c r="AQ182" s="1160"/>
      <c r="AR182" s="1160"/>
      <c r="AS182" s="1160"/>
      <c r="AT182" s="1160"/>
      <c r="AU182" s="1160"/>
      <c r="AV182" s="1160"/>
      <c r="AW182" s="1160"/>
      <c r="AX182" s="1160"/>
      <c r="AY182" s="1160"/>
      <c r="AZ182" s="1160"/>
      <c r="BA182" s="1160"/>
      <c r="BB182" s="1160"/>
      <c r="BC182" s="1160"/>
      <c r="BD182" s="1160"/>
      <c r="BE182" s="1160"/>
      <c r="BF182" s="1160"/>
      <c r="BG182" s="1160"/>
      <c r="BH182" s="1160"/>
    </row>
    <row r="183" spans="2:60" s="739" customFormat="1" x14ac:dyDescent="0.2">
      <c r="B183" s="1607"/>
      <c r="C183" s="1607"/>
      <c r="D183" s="1607"/>
      <c r="E183" s="1607"/>
      <c r="F183" s="1607"/>
      <c r="G183" s="1607"/>
      <c r="H183" s="1607"/>
      <c r="I183" s="1607"/>
      <c r="J183" s="1607"/>
      <c r="K183" s="1607"/>
      <c r="L183" s="1607"/>
      <c r="M183" s="1607"/>
      <c r="N183" s="1607"/>
      <c r="O183" s="1607"/>
      <c r="P183" s="1607"/>
      <c r="Q183" s="1607"/>
      <c r="R183" s="1607"/>
      <c r="S183" s="1607"/>
      <c r="T183" s="1607"/>
      <c r="U183" s="1607"/>
      <c r="V183" s="853"/>
      <c r="W183" s="853"/>
      <c r="X183" s="853"/>
      <c r="AC183" s="853"/>
      <c r="AD183" s="853"/>
      <c r="AE183" s="853"/>
      <c r="AF183" s="853"/>
      <c r="AG183" s="853"/>
      <c r="AH183" s="853"/>
      <c r="AI183" s="853"/>
      <c r="AJ183" s="853"/>
      <c r="AK183" s="853"/>
      <c r="AL183" s="1160"/>
      <c r="AM183" s="1160"/>
      <c r="AN183" s="1160"/>
      <c r="AO183" s="1160"/>
      <c r="AP183" s="1160"/>
      <c r="AQ183" s="1160"/>
      <c r="AR183" s="1160"/>
      <c r="AS183" s="1160"/>
      <c r="AT183" s="1160"/>
      <c r="AU183" s="1160"/>
      <c r="AV183" s="1160"/>
      <c r="AW183" s="1160"/>
      <c r="AX183" s="1160"/>
      <c r="AY183" s="1160"/>
      <c r="AZ183" s="1160"/>
      <c r="BA183" s="1160"/>
      <c r="BB183" s="1160"/>
      <c r="BC183" s="1160"/>
      <c r="BD183" s="1160"/>
      <c r="BE183" s="1160"/>
      <c r="BF183" s="1160"/>
      <c r="BG183" s="1160"/>
      <c r="BH183" s="1160"/>
    </row>
    <row r="184" spans="2:60" s="1605" customFormat="1" x14ac:dyDescent="0.2">
      <c r="B184" s="1607"/>
      <c r="C184" s="1607"/>
      <c r="D184" s="1607"/>
      <c r="E184" s="1607"/>
      <c r="F184" s="1607"/>
      <c r="G184" s="1607"/>
      <c r="H184" s="1607"/>
      <c r="I184" s="1607"/>
      <c r="J184" s="1607"/>
      <c r="K184" s="1607"/>
      <c r="L184" s="1607"/>
      <c r="M184" s="1607"/>
      <c r="N184" s="1607"/>
      <c r="O184" s="1607"/>
      <c r="P184" s="1607"/>
      <c r="Q184" s="1607"/>
      <c r="R184" s="1607"/>
      <c r="S184" s="1607"/>
      <c r="T184" s="1607"/>
      <c r="U184" s="1607"/>
      <c r="V184" s="1186"/>
      <c r="W184" s="1186"/>
      <c r="X184" s="1186"/>
      <c r="AC184" s="1186"/>
      <c r="AD184" s="1186"/>
      <c r="AE184" s="1186"/>
      <c r="AF184" s="1186"/>
      <c r="AG184" s="1186"/>
      <c r="AH184" s="1186"/>
      <c r="AI184" s="1186"/>
      <c r="AJ184" s="1186"/>
      <c r="AK184" s="1186"/>
      <c r="AL184" s="1160"/>
      <c r="AM184" s="1160"/>
      <c r="AN184" s="1160"/>
      <c r="AO184" s="1160"/>
      <c r="AP184" s="1160"/>
      <c r="AQ184" s="1160"/>
      <c r="AR184" s="1160"/>
      <c r="AS184" s="1160"/>
      <c r="AT184" s="1160"/>
      <c r="AU184" s="1160"/>
      <c r="AV184" s="1160"/>
      <c r="AW184" s="1160"/>
      <c r="AX184" s="1160"/>
      <c r="AY184" s="1160"/>
      <c r="AZ184" s="1160"/>
      <c r="BA184" s="1160"/>
      <c r="BB184" s="1160"/>
      <c r="BC184" s="1160"/>
      <c r="BD184" s="1160"/>
      <c r="BE184" s="1160"/>
      <c r="BF184" s="1160"/>
      <c r="BG184" s="1160"/>
      <c r="BH184" s="1160"/>
    </row>
    <row r="185" spans="2:60" s="739" customFormat="1" x14ac:dyDescent="0.2">
      <c r="B185" s="1607"/>
      <c r="C185" s="1607"/>
      <c r="D185" s="1607"/>
      <c r="E185" s="1607"/>
      <c r="F185" s="1607"/>
      <c r="G185" s="1607"/>
      <c r="H185" s="1607"/>
      <c r="I185" s="1607"/>
      <c r="J185" s="1607"/>
      <c r="K185" s="1607"/>
      <c r="L185" s="1607"/>
      <c r="M185" s="1607"/>
      <c r="N185" s="1607"/>
      <c r="O185" s="1607"/>
      <c r="P185" s="1607"/>
      <c r="Q185" s="1607"/>
      <c r="R185" s="1607"/>
      <c r="S185" s="1607"/>
      <c r="T185" s="1607"/>
      <c r="U185" s="1607"/>
      <c r="V185" s="853"/>
      <c r="W185" s="853"/>
      <c r="X185" s="853"/>
      <c r="AC185" s="853"/>
      <c r="AD185" s="853"/>
      <c r="AE185" s="853"/>
      <c r="AF185" s="853"/>
      <c r="AG185" s="853"/>
      <c r="AH185" s="853"/>
      <c r="AI185" s="853"/>
      <c r="AJ185" s="853"/>
      <c r="AK185" s="853"/>
      <c r="AL185" s="1160"/>
      <c r="AM185" s="1160"/>
      <c r="AN185" s="1160"/>
      <c r="AO185" s="1160"/>
      <c r="AP185" s="1160"/>
      <c r="AQ185" s="1160"/>
      <c r="AR185" s="1160"/>
      <c r="AS185" s="1160"/>
      <c r="AT185" s="1160"/>
      <c r="AU185" s="1160"/>
      <c r="AV185" s="1160"/>
      <c r="AW185" s="1160"/>
      <c r="AX185" s="1160"/>
      <c r="AY185" s="1160"/>
      <c r="AZ185" s="1160"/>
      <c r="BA185" s="1160"/>
      <c r="BB185" s="1160"/>
      <c r="BC185" s="1160"/>
      <c r="BD185" s="1160"/>
      <c r="BE185" s="1160"/>
      <c r="BF185" s="1160"/>
      <c r="BG185" s="1160"/>
      <c r="BH185" s="1160"/>
    </row>
    <row r="186" spans="2:60" s="739" customFormat="1" x14ac:dyDescent="0.2">
      <c r="B186" s="1607"/>
      <c r="C186" s="1607"/>
      <c r="D186" s="1607"/>
      <c r="E186" s="1607"/>
      <c r="F186" s="1607"/>
      <c r="G186" s="1607"/>
      <c r="H186" s="1607"/>
      <c r="I186" s="1607"/>
      <c r="J186" s="1607"/>
      <c r="K186" s="1607"/>
      <c r="L186" s="1607"/>
      <c r="M186" s="1607"/>
      <c r="N186" s="1607"/>
      <c r="O186" s="1607"/>
      <c r="P186" s="1607"/>
      <c r="Q186" s="1607"/>
      <c r="R186" s="1607"/>
      <c r="S186" s="1607"/>
      <c r="T186" s="1607"/>
      <c r="U186" s="1607"/>
      <c r="V186" s="853"/>
      <c r="W186" s="853"/>
      <c r="X186" s="853"/>
      <c r="AC186" s="853"/>
      <c r="AD186" s="853"/>
      <c r="AE186" s="853"/>
      <c r="AF186" s="853"/>
      <c r="AG186" s="853"/>
      <c r="AH186" s="853"/>
      <c r="AI186" s="853"/>
      <c r="AJ186" s="853"/>
      <c r="AK186" s="853"/>
      <c r="AL186" s="1160"/>
      <c r="AM186" s="1160"/>
      <c r="AN186" s="1160"/>
      <c r="AO186" s="1160"/>
      <c r="AP186" s="1160"/>
      <c r="AQ186" s="1160"/>
      <c r="AR186" s="1160"/>
      <c r="AS186" s="1160"/>
      <c r="AT186" s="1160"/>
      <c r="AU186" s="1160"/>
      <c r="AV186" s="1160"/>
      <c r="AW186" s="1160"/>
      <c r="AX186" s="1160"/>
      <c r="AY186" s="1160"/>
      <c r="AZ186" s="1160"/>
      <c r="BA186" s="1160"/>
      <c r="BB186" s="1160"/>
      <c r="BC186" s="1160"/>
      <c r="BD186" s="1160"/>
      <c r="BE186" s="1160"/>
      <c r="BF186" s="1160"/>
      <c r="BG186" s="1160"/>
      <c r="BH186" s="1160"/>
    </row>
    <row r="187" spans="2:60" s="739" customFormat="1" x14ac:dyDescent="0.2">
      <c r="B187" s="1607"/>
      <c r="C187" s="1607"/>
      <c r="D187" s="1607"/>
      <c r="E187" s="1607"/>
      <c r="F187" s="1607"/>
      <c r="G187" s="1607"/>
      <c r="H187" s="1607"/>
      <c r="I187" s="1607"/>
      <c r="J187" s="1607"/>
      <c r="K187" s="1607"/>
      <c r="L187" s="1607"/>
      <c r="M187" s="1607"/>
      <c r="N187" s="1607"/>
      <c r="O187" s="1607"/>
      <c r="P187" s="1607"/>
      <c r="Q187" s="1607"/>
      <c r="R187" s="1607"/>
      <c r="S187" s="1607"/>
      <c r="T187" s="1607"/>
      <c r="U187" s="1607"/>
      <c r="V187" s="853"/>
      <c r="W187" s="853"/>
      <c r="X187" s="853"/>
      <c r="AC187" s="853"/>
      <c r="AD187" s="853"/>
      <c r="AE187" s="853"/>
      <c r="AF187" s="853"/>
      <c r="AG187" s="853"/>
      <c r="AH187" s="853"/>
      <c r="AI187" s="853"/>
      <c r="AJ187" s="853"/>
      <c r="AK187" s="853"/>
      <c r="AL187" s="1160"/>
      <c r="AM187" s="1160"/>
      <c r="AN187" s="1160"/>
      <c r="AO187" s="1160"/>
      <c r="AP187" s="1160"/>
      <c r="AQ187" s="1160"/>
      <c r="AR187" s="1160"/>
      <c r="AS187" s="1160"/>
      <c r="AT187" s="1160"/>
      <c r="AU187" s="1160"/>
      <c r="AV187" s="1160"/>
      <c r="AW187" s="1160"/>
      <c r="AX187" s="1160"/>
      <c r="AY187" s="1160"/>
      <c r="AZ187" s="1160"/>
      <c r="BA187" s="1160"/>
      <c r="BB187" s="1160"/>
      <c r="BC187" s="1160"/>
      <c r="BD187" s="1160"/>
      <c r="BE187" s="1160"/>
      <c r="BF187" s="1160"/>
      <c r="BG187" s="1160"/>
      <c r="BH187" s="1160"/>
    </row>
    <row r="188" spans="2:60" s="739" customFormat="1" x14ac:dyDescent="0.2">
      <c r="B188" s="1607"/>
      <c r="C188" s="1607"/>
      <c r="D188" s="1607"/>
      <c r="E188" s="1607"/>
      <c r="F188" s="1607"/>
      <c r="G188" s="1607"/>
      <c r="H188" s="1607"/>
      <c r="I188" s="1607"/>
      <c r="J188" s="1607"/>
      <c r="K188" s="1607"/>
      <c r="L188" s="1607"/>
      <c r="M188" s="1607"/>
      <c r="N188" s="1607"/>
      <c r="O188" s="1607"/>
      <c r="P188" s="1607"/>
      <c r="Q188" s="1607"/>
      <c r="R188" s="1607"/>
      <c r="S188" s="1607"/>
      <c r="T188" s="1607"/>
      <c r="U188" s="1607"/>
      <c r="V188" s="853"/>
      <c r="W188" s="853"/>
      <c r="X188" s="853"/>
      <c r="AC188" s="853"/>
      <c r="AD188" s="853"/>
      <c r="AE188" s="853"/>
      <c r="AF188" s="853"/>
      <c r="AG188" s="853"/>
      <c r="AH188" s="853"/>
      <c r="AI188" s="853"/>
      <c r="AJ188" s="853"/>
      <c r="AK188" s="853"/>
      <c r="AL188" s="1160"/>
      <c r="AM188" s="1160"/>
      <c r="AN188" s="1160"/>
      <c r="AO188" s="1160"/>
      <c r="AP188" s="1160"/>
      <c r="AQ188" s="1160"/>
      <c r="AR188" s="1160"/>
      <c r="AS188" s="1160"/>
      <c r="AT188" s="1160"/>
      <c r="AU188" s="1160"/>
      <c r="AV188" s="1160"/>
      <c r="AW188" s="1160"/>
      <c r="AX188" s="1160"/>
      <c r="AY188" s="1160"/>
      <c r="AZ188" s="1160"/>
      <c r="BA188" s="1160"/>
      <c r="BB188" s="1160"/>
      <c r="BC188" s="1160"/>
      <c r="BD188" s="1160"/>
      <c r="BE188" s="1160"/>
      <c r="BF188" s="1160"/>
      <c r="BG188" s="1160"/>
      <c r="BH188" s="1160"/>
    </row>
    <row r="189" spans="2:60" s="1605" customFormat="1" x14ac:dyDescent="0.2">
      <c r="B189" s="1607"/>
      <c r="C189" s="1607"/>
      <c r="D189" s="1607"/>
      <c r="E189" s="1607"/>
      <c r="F189" s="1607"/>
      <c r="G189" s="1607"/>
      <c r="H189" s="1607"/>
      <c r="I189" s="1607"/>
      <c r="J189" s="1607"/>
      <c r="K189" s="1607"/>
      <c r="L189" s="1607"/>
      <c r="M189" s="1607"/>
      <c r="N189" s="1607"/>
      <c r="O189" s="1607"/>
      <c r="P189" s="1607"/>
      <c r="Q189" s="1607"/>
      <c r="R189" s="1607"/>
      <c r="S189" s="1607"/>
      <c r="T189" s="1607"/>
      <c r="U189" s="1607"/>
      <c r="V189" s="1186"/>
      <c r="W189" s="1186"/>
      <c r="X189" s="1186"/>
      <c r="AC189" s="1186"/>
      <c r="AD189" s="1186"/>
      <c r="AE189" s="1186"/>
      <c r="AF189" s="1186"/>
      <c r="AG189" s="1186"/>
      <c r="AH189" s="1186"/>
      <c r="AI189" s="1186"/>
      <c r="AJ189" s="1186"/>
      <c r="AK189" s="1186"/>
      <c r="AL189" s="1160"/>
      <c r="AM189" s="1160"/>
      <c r="AN189" s="1160"/>
      <c r="AO189" s="1160"/>
      <c r="AP189" s="1160"/>
      <c r="AQ189" s="1160"/>
      <c r="AR189" s="1160"/>
      <c r="AS189" s="1160"/>
      <c r="AT189" s="1160"/>
      <c r="AU189" s="1160"/>
      <c r="AV189" s="1160"/>
      <c r="AW189" s="1160"/>
      <c r="AX189" s="1160"/>
      <c r="AY189" s="1160"/>
      <c r="AZ189" s="1160"/>
      <c r="BA189" s="1160"/>
      <c r="BB189" s="1160"/>
      <c r="BC189" s="1160"/>
      <c r="BD189" s="1160"/>
      <c r="BE189" s="1160"/>
      <c r="BF189" s="1160"/>
      <c r="BG189" s="1160"/>
      <c r="BH189" s="1160"/>
    </row>
    <row r="190" spans="2:60" s="739" customFormat="1" x14ac:dyDescent="0.2">
      <c r="B190" s="1607"/>
      <c r="C190" s="1607"/>
      <c r="D190" s="1607"/>
      <c r="E190" s="1607"/>
      <c r="F190" s="1607"/>
      <c r="G190" s="1607"/>
      <c r="H190" s="1607"/>
      <c r="I190" s="1607"/>
      <c r="J190" s="1607"/>
      <c r="K190" s="1607"/>
      <c r="L190" s="1607"/>
      <c r="M190" s="1607"/>
      <c r="N190" s="1607"/>
      <c r="O190" s="1607"/>
      <c r="P190" s="1607"/>
      <c r="Q190" s="1607"/>
      <c r="R190" s="1607"/>
      <c r="S190" s="1607"/>
      <c r="T190" s="1607"/>
      <c r="U190" s="1607"/>
      <c r="V190" s="853"/>
      <c r="W190" s="853"/>
      <c r="X190" s="853"/>
      <c r="AC190" s="853"/>
      <c r="AD190" s="853"/>
      <c r="AE190" s="853"/>
      <c r="AF190" s="853"/>
      <c r="AG190" s="853"/>
      <c r="AH190" s="853"/>
      <c r="AI190" s="853"/>
      <c r="AJ190" s="853"/>
      <c r="AK190" s="853"/>
      <c r="AL190" s="1160"/>
      <c r="AM190" s="1160"/>
      <c r="AN190" s="1160"/>
      <c r="AO190" s="1160"/>
      <c r="AP190" s="1160"/>
      <c r="AQ190" s="1160"/>
      <c r="AR190" s="1160"/>
      <c r="AS190" s="1160"/>
      <c r="AT190" s="1160"/>
      <c r="AU190" s="1160"/>
      <c r="AV190" s="1160"/>
      <c r="AW190" s="1160"/>
      <c r="AX190" s="1160"/>
      <c r="AY190" s="1160"/>
      <c r="AZ190" s="1160"/>
      <c r="BA190" s="1160"/>
      <c r="BB190" s="1160"/>
      <c r="BC190" s="1160"/>
      <c r="BD190" s="1160"/>
      <c r="BE190" s="1160"/>
      <c r="BF190" s="1160"/>
      <c r="BG190" s="1160"/>
      <c r="BH190" s="1160"/>
    </row>
    <row r="191" spans="2:60" s="739" customFormat="1" x14ac:dyDescent="0.2">
      <c r="B191" s="1607"/>
      <c r="C191" s="1607"/>
      <c r="D191" s="1607"/>
      <c r="E191" s="1607"/>
      <c r="F191" s="1607"/>
      <c r="G191" s="1607"/>
      <c r="H191" s="1607"/>
      <c r="I191" s="1607"/>
      <c r="J191" s="1607"/>
      <c r="K191" s="1607"/>
      <c r="L191" s="1607"/>
      <c r="M191" s="1607"/>
      <c r="N191" s="1607"/>
      <c r="O191" s="1607"/>
      <c r="P191" s="1607"/>
      <c r="Q191" s="1607"/>
      <c r="R191" s="1607"/>
      <c r="S191" s="1607"/>
      <c r="T191" s="1607"/>
      <c r="U191" s="1607"/>
      <c r="V191" s="853"/>
      <c r="W191" s="853"/>
      <c r="X191" s="853"/>
      <c r="AC191" s="853"/>
      <c r="AD191" s="853"/>
      <c r="AE191" s="853"/>
      <c r="AF191" s="853"/>
      <c r="AG191" s="853"/>
      <c r="AH191" s="853"/>
      <c r="AI191" s="853"/>
      <c r="AJ191" s="853"/>
      <c r="AK191" s="853"/>
      <c r="AL191" s="1160"/>
      <c r="AM191" s="1160"/>
      <c r="AN191" s="1160"/>
      <c r="AO191" s="1160"/>
      <c r="AP191" s="1160"/>
      <c r="AQ191" s="1160"/>
      <c r="AR191" s="1160"/>
      <c r="AS191" s="1160"/>
      <c r="AT191" s="1160"/>
      <c r="AU191" s="1160"/>
      <c r="AV191" s="1160"/>
      <c r="AW191" s="1160"/>
      <c r="AX191" s="1160"/>
      <c r="AY191" s="1160"/>
      <c r="AZ191" s="1160"/>
      <c r="BA191" s="1160"/>
      <c r="BB191" s="1160"/>
      <c r="BC191" s="1160"/>
      <c r="BD191" s="1160"/>
      <c r="BE191" s="1160"/>
      <c r="BF191" s="1160"/>
      <c r="BG191" s="1160"/>
      <c r="BH191" s="1160"/>
    </row>
    <row r="192" spans="2:60" s="739" customFormat="1" x14ac:dyDescent="0.2">
      <c r="B192" s="1607"/>
      <c r="C192" s="1607"/>
      <c r="D192" s="1607"/>
      <c r="E192" s="1607"/>
      <c r="F192" s="1607"/>
      <c r="G192" s="1607"/>
      <c r="H192" s="1607"/>
      <c r="I192" s="1607"/>
      <c r="J192" s="1607"/>
      <c r="K192" s="1607"/>
      <c r="L192" s="1607"/>
      <c r="M192" s="1607"/>
      <c r="N192" s="1607"/>
      <c r="O192" s="1607"/>
      <c r="P192" s="1607"/>
      <c r="Q192" s="1607"/>
      <c r="R192" s="1607"/>
      <c r="S192" s="1607"/>
      <c r="T192" s="1607"/>
      <c r="U192" s="1607"/>
      <c r="V192" s="853"/>
      <c r="W192" s="853"/>
      <c r="X192" s="853"/>
      <c r="AC192" s="853"/>
      <c r="AD192" s="853"/>
      <c r="AE192" s="853"/>
      <c r="AF192" s="853"/>
      <c r="AG192" s="853"/>
      <c r="AH192" s="853"/>
      <c r="AI192" s="853"/>
      <c r="AJ192" s="853"/>
      <c r="AK192" s="853"/>
      <c r="AL192" s="1160"/>
      <c r="AM192" s="1160"/>
      <c r="AN192" s="1160"/>
      <c r="AO192" s="1160"/>
      <c r="AP192" s="1160"/>
      <c r="AQ192" s="1160"/>
      <c r="AR192" s="1160"/>
      <c r="AS192" s="1160"/>
      <c r="AT192" s="1160"/>
      <c r="AU192" s="1160"/>
      <c r="AV192" s="1160"/>
      <c r="AW192" s="1160"/>
      <c r="AX192" s="1160"/>
      <c r="AY192" s="1160"/>
      <c r="AZ192" s="1160"/>
      <c r="BA192" s="1160"/>
      <c r="BB192" s="1160"/>
      <c r="BC192" s="1160"/>
      <c r="BD192" s="1160"/>
      <c r="BE192" s="1160"/>
      <c r="BF192" s="1160"/>
      <c r="BG192" s="1160"/>
      <c r="BH192" s="1160"/>
    </row>
    <row r="193" spans="2:60" s="739" customFormat="1" x14ac:dyDescent="0.2">
      <c r="B193" s="1607"/>
      <c r="C193" s="1607"/>
      <c r="D193" s="1607"/>
      <c r="E193" s="1607"/>
      <c r="F193" s="1607"/>
      <c r="G193" s="1607"/>
      <c r="H193" s="1607"/>
      <c r="I193" s="1607"/>
      <c r="J193" s="1607"/>
      <c r="K193" s="1607"/>
      <c r="L193" s="1607"/>
      <c r="M193" s="1607"/>
      <c r="N193" s="1607"/>
      <c r="O193" s="1607"/>
      <c r="P193" s="1607"/>
      <c r="Q193" s="1607"/>
      <c r="R193" s="1607"/>
      <c r="S193" s="1607"/>
      <c r="T193" s="1607"/>
      <c r="U193" s="1607"/>
      <c r="V193" s="853"/>
      <c r="W193" s="853"/>
      <c r="X193" s="853"/>
      <c r="AC193" s="853"/>
      <c r="AD193" s="853"/>
      <c r="AE193" s="853"/>
      <c r="AF193" s="853"/>
      <c r="AG193" s="853"/>
      <c r="AH193" s="853"/>
      <c r="AI193" s="853"/>
      <c r="AJ193" s="853"/>
      <c r="AK193" s="853"/>
      <c r="AL193" s="1160"/>
      <c r="AM193" s="1160"/>
      <c r="AN193" s="1160"/>
      <c r="AO193" s="1160"/>
      <c r="AP193" s="1160"/>
      <c r="AQ193" s="1160"/>
      <c r="AR193" s="1160"/>
      <c r="AS193" s="1160"/>
      <c r="AT193" s="1160"/>
      <c r="AU193" s="1160"/>
      <c r="AV193" s="1160"/>
      <c r="AW193" s="1160"/>
      <c r="AX193" s="1160"/>
      <c r="AY193" s="1160"/>
      <c r="AZ193" s="1160"/>
      <c r="BA193" s="1160"/>
      <c r="BB193" s="1160"/>
      <c r="BC193" s="1160"/>
      <c r="BD193" s="1160"/>
      <c r="BE193" s="1160"/>
      <c r="BF193" s="1160"/>
      <c r="BG193" s="1160"/>
      <c r="BH193" s="1160"/>
    </row>
    <row r="194" spans="2:60" s="1605" customFormat="1" x14ac:dyDescent="0.2">
      <c r="B194" s="1607"/>
      <c r="C194" s="1607"/>
      <c r="D194" s="1607"/>
      <c r="E194" s="1607"/>
      <c r="F194" s="1607"/>
      <c r="G194" s="1607"/>
      <c r="H194" s="1607"/>
      <c r="I194" s="1607"/>
      <c r="J194" s="1607"/>
      <c r="K194" s="1607"/>
      <c r="L194" s="1607"/>
      <c r="M194" s="1607"/>
      <c r="N194" s="1607"/>
      <c r="O194" s="1607"/>
      <c r="P194" s="1607"/>
      <c r="Q194" s="1607"/>
      <c r="R194" s="1607"/>
      <c r="S194" s="1607"/>
      <c r="T194" s="1607"/>
      <c r="U194" s="1607"/>
      <c r="V194" s="1186"/>
      <c r="W194" s="1186"/>
      <c r="X194" s="1186"/>
      <c r="AC194" s="1186"/>
      <c r="AD194" s="1186"/>
      <c r="AE194" s="1186"/>
      <c r="AF194" s="1186"/>
      <c r="AG194" s="1186"/>
      <c r="AH194" s="1186"/>
      <c r="AI194" s="1186"/>
      <c r="AJ194" s="1186"/>
      <c r="AK194" s="1186"/>
      <c r="AL194" s="1160"/>
      <c r="AM194" s="1160"/>
      <c r="AN194" s="1160"/>
      <c r="AO194" s="1160"/>
      <c r="AP194" s="1160"/>
      <c r="AQ194" s="1160"/>
      <c r="AR194" s="1160"/>
      <c r="AS194" s="1160"/>
      <c r="AT194" s="1160"/>
      <c r="AU194" s="1160"/>
      <c r="AV194" s="1160"/>
      <c r="AW194" s="1160"/>
      <c r="AX194" s="1160"/>
      <c r="AY194" s="1160"/>
      <c r="AZ194" s="1160"/>
      <c r="BA194" s="1160"/>
      <c r="BB194" s="1160"/>
      <c r="BC194" s="1160"/>
      <c r="BD194" s="1160"/>
      <c r="BE194" s="1160"/>
      <c r="BF194" s="1160"/>
      <c r="BG194" s="1160"/>
      <c r="BH194" s="1160"/>
    </row>
    <row r="195" spans="2:60" s="739" customFormat="1" x14ac:dyDescent="0.2">
      <c r="B195" s="1607"/>
      <c r="C195" s="1607"/>
      <c r="D195" s="1607"/>
      <c r="E195" s="1607"/>
      <c r="F195" s="1607"/>
      <c r="G195" s="1607"/>
      <c r="H195" s="1607"/>
      <c r="I195" s="1607"/>
      <c r="J195" s="1607"/>
      <c r="K195" s="1607"/>
      <c r="L195" s="1607"/>
      <c r="M195" s="1607"/>
      <c r="N195" s="1607"/>
      <c r="O195" s="1607"/>
      <c r="P195" s="1607"/>
      <c r="Q195" s="1607"/>
      <c r="R195" s="1607"/>
      <c r="S195" s="1607"/>
      <c r="T195" s="1607"/>
      <c r="U195" s="1607"/>
      <c r="V195" s="853"/>
      <c r="W195" s="853"/>
      <c r="X195" s="853"/>
      <c r="AC195" s="853"/>
      <c r="AD195" s="853"/>
      <c r="AE195" s="853"/>
      <c r="AF195" s="853"/>
      <c r="AG195" s="853"/>
      <c r="AH195" s="853"/>
      <c r="AI195" s="853"/>
      <c r="AJ195" s="853"/>
      <c r="AK195" s="853"/>
      <c r="AL195" s="1160"/>
      <c r="AM195" s="1160"/>
      <c r="AN195" s="1160"/>
      <c r="AO195" s="1160"/>
      <c r="AP195" s="1160"/>
      <c r="AQ195" s="1160"/>
      <c r="AR195" s="1160"/>
      <c r="AS195" s="1160"/>
      <c r="AT195" s="1160"/>
      <c r="AU195" s="1160"/>
      <c r="AV195" s="1160"/>
      <c r="AW195" s="1160"/>
      <c r="AX195" s="1160"/>
      <c r="AY195" s="1160"/>
      <c r="AZ195" s="1160"/>
      <c r="BA195" s="1160"/>
      <c r="BB195" s="1160"/>
      <c r="BC195" s="1160"/>
      <c r="BD195" s="1160"/>
      <c r="BE195" s="1160"/>
      <c r="BF195" s="1160"/>
      <c r="BG195" s="1160"/>
      <c r="BH195" s="1160"/>
    </row>
    <row r="196" spans="2:60" s="739" customFormat="1" x14ac:dyDescent="0.2">
      <c r="B196" s="1607"/>
      <c r="C196" s="1607"/>
      <c r="D196" s="1607"/>
      <c r="E196" s="1607"/>
      <c r="F196" s="1607"/>
      <c r="G196" s="1607"/>
      <c r="H196" s="1607"/>
      <c r="I196" s="1607"/>
      <c r="J196" s="1607"/>
      <c r="K196" s="1607"/>
      <c r="L196" s="1607"/>
      <c r="M196" s="1607"/>
      <c r="N196" s="1607"/>
      <c r="O196" s="1607"/>
      <c r="P196" s="1607"/>
      <c r="Q196" s="1607"/>
      <c r="R196" s="1607"/>
      <c r="S196" s="1607"/>
      <c r="T196" s="1607"/>
      <c r="U196" s="1607"/>
      <c r="V196" s="853"/>
      <c r="W196" s="853"/>
      <c r="X196" s="853"/>
      <c r="AC196" s="853"/>
      <c r="AD196" s="853"/>
      <c r="AE196" s="853"/>
      <c r="AF196" s="853"/>
      <c r="AG196" s="853"/>
      <c r="AH196" s="853"/>
      <c r="AI196" s="853"/>
      <c r="AJ196" s="853"/>
      <c r="AK196" s="853"/>
      <c r="AL196" s="1160"/>
      <c r="AM196" s="1160"/>
      <c r="AN196" s="1160"/>
      <c r="AO196" s="1160"/>
      <c r="AP196" s="1160"/>
      <c r="AQ196" s="1160"/>
      <c r="AR196" s="1160"/>
      <c r="AS196" s="1160"/>
      <c r="AT196" s="1160"/>
      <c r="AU196" s="1160"/>
      <c r="AV196" s="1160"/>
      <c r="AW196" s="1160"/>
      <c r="AX196" s="1160"/>
      <c r="AY196" s="1160"/>
      <c r="AZ196" s="1160"/>
      <c r="BA196" s="1160"/>
      <c r="BB196" s="1160"/>
      <c r="BC196" s="1160"/>
      <c r="BD196" s="1160"/>
      <c r="BE196" s="1160"/>
      <c r="BF196" s="1160"/>
      <c r="BG196" s="1160"/>
      <c r="BH196" s="1160"/>
    </row>
    <row r="197" spans="2:60" s="739" customFormat="1" x14ac:dyDescent="0.2">
      <c r="B197" s="1607"/>
      <c r="C197" s="1607"/>
      <c r="D197" s="1607"/>
      <c r="E197" s="1607"/>
      <c r="F197" s="1607"/>
      <c r="G197" s="1607"/>
      <c r="H197" s="1607"/>
      <c r="I197" s="1607"/>
      <c r="J197" s="1607"/>
      <c r="K197" s="1607"/>
      <c r="L197" s="1607"/>
      <c r="M197" s="1607"/>
      <c r="N197" s="1607"/>
      <c r="O197" s="1607"/>
      <c r="P197" s="1607"/>
      <c r="Q197" s="1607"/>
      <c r="R197" s="1607"/>
      <c r="S197" s="1607"/>
      <c r="T197" s="1607"/>
      <c r="U197" s="1607"/>
      <c r="V197" s="853"/>
      <c r="W197" s="853"/>
      <c r="X197" s="853"/>
      <c r="AC197" s="853"/>
      <c r="AD197" s="853"/>
      <c r="AE197" s="853"/>
      <c r="AF197" s="853"/>
      <c r="AG197" s="853"/>
      <c r="AH197" s="853"/>
      <c r="AI197" s="853"/>
      <c r="AJ197" s="853"/>
      <c r="AK197" s="853"/>
      <c r="AL197" s="1160"/>
      <c r="AM197" s="1160"/>
      <c r="AN197" s="1160"/>
      <c r="AO197" s="1160"/>
      <c r="AP197" s="1160"/>
      <c r="AQ197" s="1160"/>
      <c r="AR197" s="1160"/>
      <c r="AS197" s="1160"/>
      <c r="AT197" s="1160"/>
      <c r="AU197" s="1160"/>
      <c r="AV197" s="1160"/>
      <c r="AW197" s="1160"/>
      <c r="AX197" s="1160"/>
      <c r="AY197" s="1160"/>
      <c r="AZ197" s="1160"/>
      <c r="BA197" s="1160"/>
      <c r="BB197" s="1160"/>
      <c r="BC197" s="1160"/>
      <c r="BD197" s="1160"/>
      <c r="BE197" s="1160"/>
      <c r="BF197" s="1160"/>
      <c r="BG197" s="1160"/>
      <c r="BH197" s="1160"/>
    </row>
    <row r="198" spans="2:60" s="739" customFormat="1" x14ac:dyDescent="0.2">
      <c r="B198" s="1607"/>
      <c r="C198" s="1607"/>
      <c r="D198" s="1607"/>
      <c r="E198" s="1607"/>
      <c r="F198" s="1607"/>
      <c r="G198" s="1607"/>
      <c r="H198" s="1607"/>
      <c r="I198" s="1607"/>
      <c r="J198" s="1607"/>
      <c r="K198" s="1607"/>
      <c r="L198" s="1607"/>
      <c r="M198" s="1607"/>
      <c r="N198" s="1607"/>
      <c r="O198" s="1607"/>
      <c r="P198" s="1607"/>
      <c r="Q198" s="1607"/>
      <c r="R198" s="1607"/>
      <c r="S198" s="1607"/>
      <c r="T198" s="1607"/>
      <c r="U198" s="1607"/>
      <c r="V198" s="853"/>
      <c r="W198" s="853"/>
      <c r="X198" s="853"/>
      <c r="AC198" s="853"/>
      <c r="AD198" s="853"/>
      <c r="AE198" s="853"/>
      <c r="AF198" s="853"/>
      <c r="AG198" s="853"/>
      <c r="AH198" s="853"/>
      <c r="AI198" s="853"/>
      <c r="AJ198" s="853"/>
      <c r="AK198" s="853"/>
      <c r="AL198" s="1160"/>
      <c r="AM198" s="1160"/>
      <c r="AN198" s="1160"/>
      <c r="AO198" s="1160"/>
      <c r="AP198" s="1160"/>
      <c r="AQ198" s="1160"/>
      <c r="AR198" s="1160"/>
      <c r="AS198" s="1160"/>
      <c r="AT198" s="1160"/>
      <c r="AU198" s="1160"/>
      <c r="AV198" s="1160"/>
      <c r="AW198" s="1160"/>
      <c r="AX198" s="1160"/>
      <c r="AY198" s="1160"/>
      <c r="AZ198" s="1160"/>
      <c r="BA198" s="1160"/>
      <c r="BB198" s="1160"/>
      <c r="BC198" s="1160"/>
      <c r="BD198" s="1160"/>
      <c r="BE198" s="1160"/>
      <c r="BF198" s="1160"/>
      <c r="BG198" s="1160"/>
      <c r="BH198" s="1160"/>
    </row>
    <row r="199" spans="2:60" s="1605" customFormat="1" x14ac:dyDescent="0.2">
      <c r="B199" s="1607"/>
      <c r="C199" s="1607"/>
      <c r="D199" s="1607"/>
      <c r="E199" s="1607"/>
      <c r="F199" s="1607"/>
      <c r="G199" s="1607"/>
      <c r="H199" s="1607"/>
      <c r="I199" s="1607"/>
      <c r="J199" s="1607"/>
      <c r="K199" s="1607"/>
      <c r="L199" s="1607"/>
      <c r="M199" s="1607"/>
      <c r="N199" s="1607"/>
      <c r="O199" s="1607"/>
      <c r="P199" s="1607"/>
      <c r="Q199" s="1607"/>
      <c r="R199" s="1607"/>
      <c r="S199" s="1607"/>
      <c r="T199" s="1607"/>
      <c r="U199" s="1607"/>
      <c r="V199" s="1186"/>
      <c r="W199" s="1186"/>
      <c r="X199" s="1186"/>
      <c r="AC199" s="1186"/>
      <c r="AD199" s="1186"/>
      <c r="AE199" s="1186"/>
      <c r="AF199" s="1186"/>
      <c r="AG199" s="1186"/>
      <c r="AH199" s="1186"/>
      <c r="AI199" s="1186"/>
      <c r="AJ199" s="1186"/>
      <c r="AK199" s="1186"/>
      <c r="AL199" s="1160"/>
      <c r="AM199" s="1160"/>
      <c r="AN199" s="1160"/>
      <c r="AO199" s="1160"/>
      <c r="AP199" s="1160"/>
      <c r="AQ199" s="1160"/>
      <c r="AR199" s="1160"/>
      <c r="AS199" s="1160"/>
      <c r="AT199" s="1160"/>
      <c r="AU199" s="1160"/>
      <c r="AV199" s="1160"/>
      <c r="AW199" s="1160"/>
      <c r="AX199" s="1160"/>
      <c r="AY199" s="1160"/>
      <c r="AZ199" s="1160"/>
      <c r="BA199" s="1160"/>
      <c r="BB199" s="1160"/>
      <c r="BC199" s="1160"/>
      <c r="BD199" s="1160"/>
      <c r="BE199" s="1160"/>
      <c r="BF199" s="1160"/>
      <c r="BG199" s="1160"/>
      <c r="BH199" s="1160"/>
    </row>
    <row r="200" spans="2:60" s="739" customFormat="1" x14ac:dyDescent="0.2">
      <c r="B200" s="1607"/>
      <c r="C200" s="1607"/>
      <c r="D200" s="1607"/>
      <c r="E200" s="1607"/>
      <c r="F200" s="1607"/>
      <c r="G200" s="1607"/>
      <c r="H200" s="1607"/>
      <c r="I200" s="1607"/>
      <c r="J200" s="1607"/>
      <c r="K200" s="1607"/>
      <c r="L200" s="1607"/>
      <c r="M200" s="1607"/>
      <c r="N200" s="1607"/>
      <c r="O200" s="1607"/>
      <c r="P200" s="1607"/>
      <c r="Q200" s="1607"/>
      <c r="R200" s="1607"/>
      <c r="S200" s="1607"/>
      <c r="T200" s="1607"/>
      <c r="U200" s="1607"/>
      <c r="V200" s="853"/>
      <c r="W200" s="853"/>
      <c r="X200" s="853"/>
      <c r="AC200" s="853"/>
      <c r="AD200" s="853"/>
      <c r="AE200" s="853"/>
      <c r="AF200" s="853"/>
      <c r="AG200" s="853"/>
      <c r="AH200" s="853"/>
      <c r="AI200" s="853"/>
      <c r="AJ200" s="853"/>
      <c r="AK200" s="853"/>
      <c r="AL200" s="1160"/>
      <c r="AM200" s="1160"/>
      <c r="AN200" s="1160"/>
      <c r="AO200" s="1160"/>
      <c r="AP200" s="1160"/>
      <c r="AQ200" s="1160"/>
      <c r="AR200" s="1160"/>
      <c r="AS200" s="1160"/>
      <c r="AT200" s="1160"/>
      <c r="AU200" s="1160"/>
      <c r="AV200" s="1160"/>
      <c r="AW200" s="1160"/>
      <c r="AX200" s="1160"/>
      <c r="AY200" s="1160"/>
      <c r="AZ200" s="1160"/>
      <c r="BA200" s="1160"/>
      <c r="BB200" s="1160"/>
      <c r="BC200" s="1160"/>
      <c r="BD200" s="1160"/>
      <c r="BE200" s="1160"/>
      <c r="BF200" s="1160"/>
      <c r="BG200" s="1160"/>
      <c r="BH200" s="1160"/>
    </row>
    <row r="201" spans="2:60" s="739" customFormat="1" x14ac:dyDescent="0.2">
      <c r="B201" s="1607"/>
      <c r="C201" s="1607"/>
      <c r="D201" s="1607"/>
      <c r="E201" s="1607"/>
      <c r="F201" s="1607"/>
      <c r="G201" s="1607"/>
      <c r="H201" s="1607"/>
      <c r="I201" s="1607"/>
      <c r="J201" s="1607"/>
      <c r="K201" s="1607"/>
      <c r="L201" s="1607"/>
      <c r="M201" s="1607"/>
      <c r="N201" s="1607"/>
      <c r="O201" s="1607"/>
      <c r="P201" s="1607"/>
      <c r="Q201" s="1607"/>
      <c r="R201" s="1607"/>
      <c r="S201" s="1607"/>
      <c r="T201" s="1607"/>
      <c r="U201" s="1607"/>
      <c r="V201" s="853"/>
      <c r="W201" s="853"/>
      <c r="X201" s="853"/>
      <c r="AC201" s="853"/>
      <c r="AD201" s="853"/>
      <c r="AE201" s="853"/>
      <c r="AF201" s="853"/>
      <c r="AG201" s="853"/>
      <c r="AH201" s="853"/>
      <c r="AI201" s="853"/>
      <c r="AJ201" s="853"/>
      <c r="AK201" s="853"/>
      <c r="AL201" s="1160"/>
      <c r="AM201" s="1160"/>
      <c r="AN201" s="1160"/>
      <c r="AO201" s="1160"/>
      <c r="AP201" s="1160"/>
      <c r="AQ201" s="1160"/>
      <c r="AR201" s="1160"/>
      <c r="AS201" s="1160"/>
      <c r="AT201" s="1160"/>
      <c r="AU201" s="1160"/>
      <c r="AV201" s="1160"/>
      <c r="AW201" s="1160"/>
      <c r="AX201" s="1160"/>
      <c r="AY201" s="1160"/>
      <c r="AZ201" s="1160"/>
      <c r="BA201" s="1160"/>
      <c r="BB201" s="1160"/>
      <c r="BC201" s="1160"/>
      <c r="BD201" s="1160"/>
      <c r="BE201" s="1160"/>
      <c r="BF201" s="1160"/>
      <c r="BG201" s="1160"/>
      <c r="BH201" s="1160"/>
    </row>
    <row r="202" spans="2:60" s="739" customFormat="1" x14ac:dyDescent="0.2">
      <c r="B202" s="1607"/>
      <c r="C202" s="1607"/>
      <c r="D202" s="1607"/>
      <c r="E202" s="1607"/>
      <c r="F202" s="1607"/>
      <c r="G202" s="1607"/>
      <c r="H202" s="1607"/>
      <c r="I202" s="1607"/>
      <c r="J202" s="1607"/>
      <c r="K202" s="1607"/>
      <c r="L202" s="1607"/>
      <c r="M202" s="1607"/>
      <c r="N202" s="1607"/>
      <c r="O202" s="1607"/>
      <c r="P202" s="1607"/>
      <c r="Q202" s="1607"/>
      <c r="R202" s="1607"/>
      <c r="S202" s="1607"/>
      <c r="T202" s="1607"/>
      <c r="U202" s="1607"/>
      <c r="V202" s="853"/>
      <c r="W202" s="853"/>
      <c r="X202" s="853"/>
      <c r="AC202" s="853"/>
      <c r="AD202" s="853"/>
      <c r="AE202" s="853"/>
      <c r="AF202" s="853"/>
      <c r="AG202" s="853"/>
      <c r="AH202" s="853"/>
      <c r="AI202" s="853"/>
      <c r="AJ202" s="853"/>
      <c r="AK202" s="853"/>
      <c r="AL202" s="1160"/>
      <c r="AM202" s="1160"/>
      <c r="AN202" s="1160"/>
      <c r="AO202" s="1160"/>
      <c r="AP202" s="1160"/>
      <c r="AQ202" s="1160"/>
      <c r="AR202" s="1160"/>
      <c r="AS202" s="1160"/>
      <c r="AT202" s="1160"/>
      <c r="AU202" s="1160"/>
      <c r="AV202" s="1160"/>
      <c r="AW202" s="1160"/>
      <c r="AX202" s="1160"/>
      <c r="AY202" s="1160"/>
      <c r="AZ202" s="1160"/>
      <c r="BA202" s="1160"/>
      <c r="BB202" s="1160"/>
      <c r="BC202" s="1160"/>
      <c r="BD202" s="1160"/>
      <c r="BE202" s="1160"/>
      <c r="BF202" s="1160"/>
      <c r="BG202" s="1160"/>
      <c r="BH202" s="1160"/>
    </row>
    <row r="203" spans="2:60" s="739" customFormat="1" x14ac:dyDescent="0.2">
      <c r="B203" s="1607"/>
      <c r="C203" s="1607"/>
      <c r="D203" s="1607"/>
      <c r="E203" s="1607"/>
      <c r="F203" s="1607"/>
      <c r="G203" s="1607"/>
      <c r="H203" s="1607"/>
      <c r="I203" s="1607"/>
      <c r="J203" s="1607"/>
      <c r="K203" s="1607"/>
      <c r="L203" s="1607"/>
      <c r="M203" s="1607"/>
      <c r="N203" s="1607"/>
      <c r="O203" s="1607"/>
      <c r="P203" s="1607"/>
      <c r="Q203" s="1607"/>
      <c r="R203" s="1607"/>
      <c r="S203" s="1607"/>
      <c r="T203" s="1607"/>
      <c r="U203" s="1607"/>
      <c r="V203" s="853"/>
      <c r="W203" s="853"/>
      <c r="X203" s="853"/>
      <c r="AC203" s="853"/>
      <c r="AD203" s="853"/>
      <c r="AE203" s="853"/>
      <c r="AF203" s="853"/>
      <c r="AG203" s="853"/>
      <c r="AH203" s="853"/>
      <c r="AI203" s="853"/>
      <c r="AJ203" s="853"/>
      <c r="AK203" s="853"/>
      <c r="AL203" s="1160"/>
      <c r="AM203" s="1160"/>
      <c r="AN203" s="1160"/>
      <c r="AO203" s="1160"/>
      <c r="AP203" s="1160"/>
      <c r="AQ203" s="1160"/>
      <c r="AR203" s="1160"/>
      <c r="AS203" s="1160"/>
      <c r="AT203" s="1160"/>
      <c r="AU203" s="1160"/>
      <c r="AV203" s="1160"/>
      <c r="AW203" s="1160"/>
      <c r="AX203" s="1160"/>
      <c r="AY203" s="1160"/>
      <c r="AZ203" s="1160"/>
      <c r="BA203" s="1160"/>
      <c r="BB203" s="1160"/>
      <c r="BC203" s="1160"/>
      <c r="BD203" s="1160"/>
      <c r="BE203" s="1160"/>
      <c r="BF203" s="1160"/>
      <c r="BG203" s="1160"/>
      <c r="BH203" s="1160"/>
    </row>
    <row r="204" spans="2:60" s="739" customFormat="1" x14ac:dyDescent="0.2">
      <c r="B204" s="1607"/>
      <c r="C204" s="1607"/>
      <c r="D204" s="1607"/>
      <c r="E204" s="1607"/>
      <c r="F204" s="1607"/>
      <c r="G204" s="1607"/>
      <c r="H204" s="1607"/>
      <c r="I204" s="1607"/>
      <c r="J204" s="1607"/>
      <c r="K204" s="1607"/>
      <c r="L204" s="1607"/>
      <c r="M204" s="1607"/>
      <c r="N204" s="1607"/>
      <c r="O204" s="1607"/>
      <c r="P204" s="1607"/>
      <c r="Q204" s="1607"/>
      <c r="R204" s="1607"/>
      <c r="S204" s="1607"/>
      <c r="T204" s="1607"/>
      <c r="U204" s="1607"/>
      <c r="V204" s="853"/>
      <c r="W204" s="853"/>
      <c r="X204" s="853"/>
      <c r="AC204" s="853"/>
      <c r="AD204" s="853"/>
      <c r="AE204" s="853"/>
      <c r="AF204" s="853"/>
      <c r="AG204" s="853"/>
      <c r="AH204" s="853"/>
      <c r="AI204" s="853"/>
      <c r="AJ204" s="853"/>
      <c r="AK204" s="853"/>
      <c r="AL204" s="1160"/>
      <c r="AM204" s="1160"/>
      <c r="AN204" s="1160"/>
      <c r="AO204" s="1160"/>
      <c r="AP204" s="1160"/>
      <c r="AQ204" s="1160"/>
      <c r="AR204" s="1160"/>
      <c r="AS204" s="1160"/>
      <c r="AT204" s="1160"/>
      <c r="AU204" s="1160"/>
      <c r="AV204" s="1160"/>
      <c r="AW204" s="1160"/>
      <c r="AX204" s="1160"/>
      <c r="AY204" s="1160"/>
      <c r="AZ204" s="1160"/>
      <c r="BA204" s="1160"/>
      <c r="BB204" s="1160"/>
      <c r="BC204" s="1160"/>
      <c r="BD204" s="1160"/>
      <c r="BE204" s="1160"/>
      <c r="BF204" s="1160"/>
      <c r="BG204" s="1160"/>
      <c r="BH204" s="1160"/>
    </row>
    <row r="205" spans="2:60" s="739" customFormat="1" x14ac:dyDescent="0.2">
      <c r="B205" s="1607"/>
      <c r="C205" s="1607"/>
      <c r="D205" s="1607"/>
      <c r="E205" s="1607"/>
      <c r="F205" s="1607"/>
      <c r="G205" s="1607"/>
      <c r="H205" s="1607"/>
      <c r="I205" s="1607"/>
      <c r="J205" s="1607"/>
      <c r="K205" s="1607"/>
      <c r="L205" s="1607"/>
      <c r="M205" s="1607"/>
      <c r="N205" s="1607"/>
      <c r="O205" s="1607"/>
      <c r="P205" s="1607"/>
      <c r="Q205" s="1607"/>
      <c r="R205" s="1607"/>
      <c r="S205" s="1607"/>
      <c r="T205" s="1607"/>
      <c r="U205" s="1607"/>
      <c r="V205" s="853"/>
      <c r="W205" s="853"/>
      <c r="X205" s="853"/>
      <c r="AC205" s="853"/>
      <c r="AD205" s="853"/>
      <c r="AE205" s="853"/>
      <c r="AF205" s="853"/>
      <c r="AG205" s="853"/>
      <c r="AH205" s="853"/>
      <c r="AI205" s="853"/>
      <c r="AJ205" s="853"/>
      <c r="AK205" s="853"/>
      <c r="AL205" s="1160"/>
      <c r="AM205" s="1160"/>
      <c r="AN205" s="1160"/>
      <c r="AO205" s="1160"/>
      <c r="AP205" s="1160"/>
      <c r="AQ205" s="1160"/>
      <c r="AR205" s="1160"/>
      <c r="AS205" s="1160"/>
      <c r="AT205" s="1160"/>
      <c r="AU205" s="1160"/>
      <c r="AV205" s="1160"/>
      <c r="AW205" s="1160"/>
      <c r="AX205" s="1160"/>
      <c r="AY205" s="1160"/>
      <c r="AZ205" s="1160"/>
      <c r="BA205" s="1160"/>
      <c r="BB205" s="1160"/>
      <c r="BC205" s="1160"/>
      <c r="BD205" s="1160"/>
      <c r="BE205" s="1160"/>
      <c r="BF205" s="1160"/>
      <c r="BG205" s="1160"/>
      <c r="BH205" s="1160"/>
    </row>
    <row r="206" spans="2:60" s="739" customFormat="1" x14ac:dyDescent="0.2">
      <c r="B206" s="1607"/>
      <c r="C206" s="1607"/>
      <c r="D206" s="1607"/>
      <c r="E206" s="1607"/>
      <c r="F206" s="1607"/>
      <c r="G206" s="1607"/>
      <c r="H206" s="1607"/>
      <c r="I206" s="1607"/>
      <c r="J206" s="1607"/>
      <c r="K206" s="1607"/>
      <c r="L206" s="1607"/>
      <c r="M206" s="1607"/>
      <c r="N206" s="1607"/>
      <c r="O206" s="1607"/>
      <c r="P206" s="1607"/>
      <c r="Q206" s="1607"/>
      <c r="R206" s="1607"/>
      <c r="S206" s="1607"/>
      <c r="T206" s="1607"/>
      <c r="U206" s="1607"/>
      <c r="V206" s="853"/>
      <c r="W206" s="853"/>
      <c r="X206" s="853"/>
      <c r="AC206" s="853"/>
      <c r="AD206" s="853"/>
      <c r="AE206" s="853"/>
      <c r="AF206" s="853"/>
      <c r="AG206" s="853"/>
      <c r="AH206" s="853"/>
      <c r="AI206" s="853"/>
      <c r="AJ206" s="853"/>
      <c r="AK206" s="853"/>
      <c r="AL206" s="1160"/>
      <c r="AM206" s="1160"/>
      <c r="AN206" s="1160"/>
      <c r="AO206" s="1160"/>
      <c r="AP206" s="1160"/>
      <c r="AQ206" s="1160"/>
      <c r="AR206" s="1160"/>
      <c r="AS206" s="1160"/>
      <c r="AT206" s="1160"/>
      <c r="AU206" s="1160"/>
      <c r="AV206" s="1160"/>
      <c r="AW206" s="1160"/>
      <c r="AX206" s="1160"/>
      <c r="AY206" s="1160"/>
      <c r="AZ206" s="1160"/>
      <c r="BA206" s="1160"/>
      <c r="BB206" s="1160"/>
      <c r="BC206" s="1160"/>
      <c r="BD206" s="1160"/>
      <c r="BE206" s="1160"/>
      <c r="BF206" s="1160"/>
      <c r="BG206" s="1160"/>
      <c r="BH206" s="1160"/>
    </row>
    <row r="207" spans="2:60" s="739" customFormat="1" x14ac:dyDescent="0.2">
      <c r="B207" s="1607"/>
      <c r="C207" s="1607"/>
      <c r="D207" s="1607"/>
      <c r="E207" s="1607"/>
      <c r="F207" s="1607"/>
      <c r="G207" s="1607"/>
      <c r="H207" s="1607"/>
      <c r="I207" s="1607"/>
      <c r="J207" s="1607"/>
      <c r="K207" s="1607"/>
      <c r="L207" s="1607"/>
      <c r="M207" s="1607"/>
      <c r="N207" s="1607"/>
      <c r="O207" s="1607"/>
      <c r="P207" s="1607"/>
      <c r="Q207" s="1607"/>
      <c r="R207" s="1607"/>
      <c r="S207" s="1607"/>
      <c r="T207" s="1607"/>
      <c r="U207" s="1607"/>
      <c r="V207" s="853"/>
      <c r="W207" s="853"/>
      <c r="X207" s="853"/>
      <c r="AC207" s="853"/>
      <c r="AD207" s="853"/>
      <c r="AE207" s="853"/>
      <c r="AF207" s="853"/>
      <c r="AG207" s="853"/>
      <c r="AH207" s="853"/>
      <c r="AI207" s="853"/>
      <c r="AJ207" s="853"/>
      <c r="AK207" s="853"/>
      <c r="AL207" s="1160"/>
      <c r="AM207" s="1160"/>
      <c r="AN207" s="1160"/>
      <c r="AO207" s="1160"/>
      <c r="AP207" s="1160"/>
      <c r="AQ207" s="1160"/>
      <c r="AR207" s="1160"/>
      <c r="AS207" s="1160"/>
      <c r="AT207" s="1160"/>
      <c r="AU207" s="1160"/>
      <c r="AV207" s="1160"/>
      <c r="AW207" s="1160"/>
      <c r="AX207" s="1160"/>
      <c r="AY207" s="1160"/>
      <c r="AZ207" s="1160"/>
      <c r="BA207" s="1160"/>
      <c r="BB207" s="1160"/>
      <c r="BC207" s="1160"/>
      <c r="BD207" s="1160"/>
      <c r="BE207" s="1160"/>
      <c r="BF207" s="1160"/>
      <c r="BG207" s="1160"/>
      <c r="BH207" s="1160"/>
    </row>
    <row r="208" spans="2:60" s="739" customFormat="1" x14ac:dyDescent="0.2">
      <c r="B208" s="1607"/>
      <c r="C208" s="1607"/>
      <c r="D208" s="1607"/>
      <c r="E208" s="1607"/>
      <c r="F208" s="1607"/>
      <c r="G208" s="1607"/>
      <c r="H208" s="1607"/>
      <c r="I208" s="1607"/>
      <c r="J208" s="1607"/>
      <c r="K208" s="1607"/>
      <c r="L208" s="1607"/>
      <c r="M208" s="1607"/>
      <c r="N208" s="1607"/>
      <c r="O208" s="1607"/>
      <c r="P208" s="1607"/>
      <c r="Q208" s="1607"/>
      <c r="R208" s="1607"/>
      <c r="S208" s="1607"/>
      <c r="T208" s="1607"/>
      <c r="U208" s="1607"/>
      <c r="V208" s="853"/>
      <c r="W208" s="853"/>
      <c r="X208" s="853"/>
      <c r="AC208" s="853"/>
      <c r="AD208" s="853"/>
      <c r="AE208" s="853"/>
      <c r="AF208" s="853"/>
      <c r="AG208" s="853"/>
      <c r="AH208" s="853"/>
      <c r="AI208" s="853"/>
      <c r="AJ208" s="853"/>
      <c r="AK208" s="853"/>
      <c r="AL208" s="1160"/>
      <c r="AM208" s="1160"/>
      <c r="AN208" s="1160"/>
      <c r="AO208" s="1160"/>
      <c r="AP208" s="1160"/>
      <c r="AQ208" s="1160"/>
      <c r="AR208" s="1160"/>
      <c r="AS208" s="1160"/>
      <c r="AT208" s="1160"/>
      <c r="AU208" s="1160"/>
      <c r="AV208" s="1160"/>
      <c r="AW208" s="1160"/>
      <c r="AX208" s="1160"/>
      <c r="AY208" s="1160"/>
      <c r="AZ208" s="1160"/>
      <c r="BA208" s="1160"/>
      <c r="BB208" s="1160"/>
      <c r="BC208" s="1160"/>
      <c r="BD208" s="1160"/>
      <c r="BE208" s="1160"/>
      <c r="BF208" s="1160"/>
      <c r="BG208" s="1160"/>
      <c r="BH208" s="1160"/>
    </row>
    <row r="209" spans="2:60" s="739" customFormat="1" x14ac:dyDescent="0.2">
      <c r="B209" s="1607"/>
      <c r="C209" s="1607"/>
      <c r="D209" s="1607"/>
      <c r="E209" s="1607"/>
      <c r="F209" s="1607"/>
      <c r="G209" s="1607"/>
      <c r="H209" s="1607"/>
      <c r="I209" s="1607"/>
      <c r="J209" s="1607"/>
      <c r="K209" s="1607"/>
      <c r="L209" s="1607"/>
      <c r="M209" s="1607"/>
      <c r="N209" s="1607"/>
      <c r="O209" s="1607"/>
      <c r="P209" s="1607"/>
      <c r="Q209" s="1607"/>
      <c r="R209" s="1607"/>
      <c r="S209" s="1607"/>
      <c r="T209" s="1607"/>
      <c r="U209" s="1607"/>
      <c r="V209" s="853"/>
      <c r="W209" s="853"/>
      <c r="X209" s="853"/>
      <c r="AC209" s="853"/>
      <c r="AD209" s="853"/>
      <c r="AE209" s="853"/>
      <c r="AF209" s="853"/>
      <c r="AG209" s="853"/>
      <c r="AH209" s="853"/>
      <c r="AI209" s="853"/>
      <c r="AJ209" s="853"/>
      <c r="AK209" s="853"/>
      <c r="AL209" s="1160"/>
      <c r="AM209" s="1160"/>
      <c r="AN209" s="1160"/>
      <c r="AO209" s="1160"/>
      <c r="AP209" s="1160"/>
      <c r="AQ209" s="1160"/>
      <c r="AR209" s="1160"/>
      <c r="AS209" s="1160"/>
      <c r="AT209" s="1160"/>
      <c r="AU209" s="1160"/>
      <c r="AV209" s="1160"/>
      <c r="AW209" s="1160"/>
      <c r="AX209" s="1160"/>
      <c r="AY209" s="1160"/>
      <c r="AZ209" s="1160"/>
      <c r="BA209" s="1160"/>
      <c r="BB209" s="1160"/>
      <c r="BC209" s="1160"/>
      <c r="BD209" s="1160"/>
      <c r="BE209" s="1160"/>
      <c r="BF209" s="1160"/>
      <c r="BG209" s="1160"/>
      <c r="BH209" s="1160"/>
    </row>
    <row r="210" spans="2:60" s="1605" customFormat="1" x14ac:dyDescent="0.2">
      <c r="B210" s="1607"/>
      <c r="C210" s="1607"/>
      <c r="D210" s="1607"/>
      <c r="E210" s="1607"/>
      <c r="F210" s="1607"/>
      <c r="G210" s="1607"/>
      <c r="H210" s="1607"/>
      <c r="I210" s="1607"/>
      <c r="J210" s="1607"/>
      <c r="K210" s="1607"/>
      <c r="L210" s="1607"/>
      <c r="M210" s="1607"/>
      <c r="N210" s="1607"/>
      <c r="O210" s="1607"/>
      <c r="P210" s="1607"/>
      <c r="Q210" s="1607"/>
      <c r="R210" s="1607"/>
      <c r="S210" s="1607"/>
      <c r="T210" s="1607"/>
      <c r="U210" s="1607"/>
      <c r="V210" s="1186"/>
      <c r="W210" s="1186"/>
      <c r="X210" s="1186"/>
      <c r="AC210" s="1186"/>
      <c r="AD210" s="1186"/>
      <c r="AE210" s="1186"/>
      <c r="AF210" s="1186"/>
      <c r="AG210" s="1186"/>
      <c r="AH210" s="1186"/>
      <c r="AI210" s="1186"/>
      <c r="AJ210" s="1186"/>
      <c r="AK210" s="1186"/>
      <c r="AL210" s="1160"/>
      <c r="AM210" s="1160"/>
      <c r="AN210" s="1160"/>
      <c r="AO210" s="1160"/>
      <c r="AP210" s="1160"/>
      <c r="AQ210" s="1160"/>
      <c r="AR210" s="1160"/>
      <c r="AS210" s="1160"/>
      <c r="AT210" s="1160"/>
      <c r="AU210" s="1160"/>
      <c r="AV210" s="1160"/>
      <c r="AW210" s="1160"/>
      <c r="AX210" s="1160"/>
      <c r="AY210" s="1160"/>
      <c r="AZ210" s="1160"/>
      <c r="BA210" s="1160"/>
      <c r="BB210" s="1160"/>
      <c r="BC210" s="1160"/>
      <c r="BD210" s="1160"/>
      <c r="BE210" s="1160"/>
      <c r="BF210" s="1160"/>
      <c r="BG210" s="1160"/>
      <c r="BH210" s="1160"/>
    </row>
    <row r="211" spans="2:60" s="739" customFormat="1" x14ac:dyDescent="0.2">
      <c r="B211" s="1607"/>
      <c r="C211" s="1607"/>
      <c r="D211" s="1607"/>
      <c r="E211" s="1607"/>
      <c r="F211" s="1607"/>
      <c r="G211" s="1607"/>
      <c r="H211" s="1607"/>
      <c r="I211" s="1607"/>
      <c r="J211" s="1607"/>
      <c r="K211" s="1607"/>
      <c r="L211" s="1607"/>
      <c r="M211" s="1607"/>
      <c r="N211" s="1607"/>
      <c r="O211" s="1607"/>
      <c r="P211" s="1607"/>
      <c r="Q211" s="1607"/>
      <c r="R211" s="1607"/>
      <c r="S211" s="1607"/>
      <c r="T211" s="1607"/>
      <c r="U211" s="1607"/>
      <c r="V211" s="853"/>
      <c r="W211" s="853"/>
      <c r="X211" s="853"/>
      <c r="AC211" s="853"/>
      <c r="AD211" s="853"/>
      <c r="AE211" s="853"/>
      <c r="AF211" s="853"/>
      <c r="AG211" s="853"/>
      <c r="AH211" s="853"/>
      <c r="AI211" s="853"/>
      <c r="AJ211" s="853"/>
      <c r="AK211" s="853"/>
      <c r="AL211" s="1160"/>
      <c r="AM211" s="1160"/>
      <c r="AN211" s="1160"/>
      <c r="AO211" s="1160"/>
      <c r="AP211" s="1160"/>
      <c r="AQ211" s="1160"/>
      <c r="AR211" s="1160"/>
      <c r="AS211" s="1160"/>
      <c r="AT211" s="1160"/>
      <c r="AU211" s="1160"/>
      <c r="AV211" s="1160"/>
      <c r="AW211" s="1160"/>
      <c r="AX211" s="1160"/>
      <c r="AY211" s="1160"/>
      <c r="AZ211" s="1160"/>
      <c r="BA211" s="1160"/>
      <c r="BB211" s="1160"/>
      <c r="BC211" s="1160"/>
      <c r="BD211" s="1160"/>
      <c r="BE211" s="1160"/>
      <c r="BF211" s="1160"/>
      <c r="BG211" s="1160"/>
      <c r="BH211" s="1160"/>
    </row>
    <row r="212" spans="2:60" s="739" customFormat="1" x14ac:dyDescent="0.2">
      <c r="B212" s="1607"/>
      <c r="C212" s="1607"/>
      <c r="D212" s="1607"/>
      <c r="E212" s="1607"/>
      <c r="F212" s="1607"/>
      <c r="G212" s="1607"/>
      <c r="H212" s="1607"/>
      <c r="I212" s="1607"/>
      <c r="J212" s="1607"/>
      <c r="K212" s="1607"/>
      <c r="L212" s="1607"/>
      <c r="M212" s="1607"/>
      <c r="N212" s="1607"/>
      <c r="O212" s="1607"/>
      <c r="P212" s="1607"/>
      <c r="Q212" s="1607"/>
      <c r="R212" s="1607"/>
      <c r="S212" s="1607"/>
      <c r="T212" s="1607"/>
      <c r="U212" s="1607"/>
      <c r="V212" s="853"/>
      <c r="W212" s="853"/>
      <c r="X212" s="853"/>
      <c r="AC212" s="853"/>
      <c r="AD212" s="853"/>
      <c r="AE212" s="853"/>
      <c r="AF212" s="853"/>
      <c r="AG212" s="853"/>
      <c r="AH212" s="853"/>
      <c r="AI212" s="853"/>
      <c r="AJ212" s="853"/>
      <c r="AK212" s="853"/>
      <c r="AL212" s="1160"/>
      <c r="AM212" s="1160"/>
      <c r="AN212" s="1160"/>
      <c r="AO212" s="1160"/>
      <c r="AP212" s="1160"/>
      <c r="AQ212" s="1160"/>
      <c r="AR212" s="1160"/>
      <c r="AS212" s="1160"/>
      <c r="AT212" s="1160"/>
      <c r="AU212" s="1160"/>
      <c r="AV212" s="1160"/>
      <c r="AW212" s="1160"/>
      <c r="AX212" s="1160"/>
      <c r="AY212" s="1160"/>
      <c r="AZ212" s="1160"/>
      <c r="BA212" s="1160"/>
      <c r="BB212" s="1160"/>
      <c r="BC212" s="1160"/>
      <c r="BD212" s="1160"/>
      <c r="BE212" s="1160"/>
      <c r="BF212" s="1160"/>
      <c r="BG212" s="1160"/>
      <c r="BH212" s="1160"/>
    </row>
    <row r="213" spans="2:60" s="739" customFormat="1" x14ac:dyDescent="0.2">
      <c r="B213" s="1607"/>
      <c r="C213" s="1607"/>
      <c r="D213" s="1607"/>
      <c r="E213" s="1607"/>
      <c r="F213" s="1607"/>
      <c r="G213" s="1607"/>
      <c r="H213" s="1607"/>
      <c r="I213" s="1607"/>
      <c r="J213" s="1607"/>
      <c r="K213" s="1607"/>
      <c r="L213" s="1607"/>
      <c r="M213" s="1607"/>
      <c r="N213" s="1607"/>
      <c r="O213" s="1607"/>
      <c r="P213" s="1607"/>
      <c r="Q213" s="1607"/>
      <c r="R213" s="1607"/>
      <c r="S213" s="1607"/>
      <c r="T213" s="1607"/>
      <c r="U213" s="1607"/>
      <c r="V213" s="853"/>
      <c r="W213" s="853"/>
      <c r="X213" s="853"/>
      <c r="AC213" s="853"/>
      <c r="AD213" s="853"/>
      <c r="AE213" s="853"/>
      <c r="AF213" s="853"/>
      <c r="AG213" s="853"/>
      <c r="AH213" s="853"/>
      <c r="AI213" s="853"/>
      <c r="AJ213" s="853"/>
      <c r="AK213" s="853"/>
      <c r="AL213" s="1160"/>
      <c r="AM213" s="1160"/>
      <c r="AN213" s="1160"/>
      <c r="AO213" s="1160"/>
      <c r="AP213" s="1160"/>
      <c r="AQ213" s="1160"/>
      <c r="AR213" s="1160"/>
      <c r="AS213" s="1160"/>
      <c r="AT213" s="1160"/>
      <c r="AU213" s="1160"/>
      <c r="AV213" s="1160"/>
      <c r="AW213" s="1160"/>
      <c r="AX213" s="1160"/>
      <c r="AY213" s="1160"/>
      <c r="AZ213" s="1160"/>
      <c r="BA213" s="1160"/>
      <c r="BB213" s="1160"/>
      <c r="BC213" s="1160"/>
      <c r="BD213" s="1160"/>
      <c r="BE213" s="1160"/>
      <c r="BF213" s="1160"/>
      <c r="BG213" s="1160"/>
      <c r="BH213" s="1160"/>
    </row>
    <row r="214" spans="2:60" s="739" customFormat="1" x14ac:dyDescent="0.2">
      <c r="B214" s="1607"/>
      <c r="C214" s="1607"/>
      <c r="D214" s="1607"/>
      <c r="E214" s="1607"/>
      <c r="F214" s="1607"/>
      <c r="G214" s="1607"/>
      <c r="H214" s="1607"/>
      <c r="I214" s="1607"/>
      <c r="J214" s="1607"/>
      <c r="K214" s="1607"/>
      <c r="L214" s="1607"/>
      <c r="M214" s="1607"/>
      <c r="N214" s="1607"/>
      <c r="O214" s="1607"/>
      <c r="P214" s="1607"/>
      <c r="Q214" s="1607"/>
      <c r="R214" s="1607"/>
      <c r="S214" s="1607"/>
      <c r="T214" s="1607"/>
      <c r="U214" s="1607"/>
      <c r="V214" s="853"/>
      <c r="W214" s="853"/>
      <c r="X214" s="853"/>
      <c r="AC214" s="853"/>
      <c r="AD214" s="853"/>
      <c r="AE214" s="853"/>
      <c r="AF214" s="853"/>
      <c r="AG214" s="853"/>
      <c r="AH214" s="853"/>
      <c r="AI214" s="853"/>
      <c r="AJ214" s="853"/>
      <c r="AK214" s="853"/>
      <c r="AL214" s="1160"/>
      <c r="AM214" s="1160"/>
      <c r="AN214" s="1160"/>
      <c r="AO214" s="1160"/>
      <c r="AP214" s="1160"/>
      <c r="AQ214" s="1160"/>
      <c r="AR214" s="1160"/>
      <c r="AS214" s="1160"/>
      <c r="AT214" s="1160"/>
      <c r="AU214" s="1160"/>
      <c r="AV214" s="1160"/>
      <c r="AW214" s="1160"/>
      <c r="AX214" s="1160"/>
      <c r="AY214" s="1160"/>
      <c r="AZ214" s="1160"/>
      <c r="BA214" s="1160"/>
      <c r="BB214" s="1160"/>
      <c r="BC214" s="1160"/>
      <c r="BD214" s="1160"/>
      <c r="BE214" s="1160"/>
      <c r="BF214" s="1160"/>
      <c r="BG214" s="1160"/>
      <c r="BH214" s="1160"/>
    </row>
    <row r="215" spans="2:60" s="1605" customFormat="1" x14ac:dyDescent="0.2">
      <c r="B215" s="1607"/>
      <c r="C215" s="1607"/>
      <c r="D215" s="1607"/>
      <c r="E215" s="1607"/>
      <c r="F215" s="1607"/>
      <c r="G215" s="1607"/>
      <c r="H215" s="1607"/>
      <c r="I215" s="1607"/>
      <c r="J215" s="1607"/>
      <c r="K215" s="1607"/>
      <c r="L215" s="1607"/>
      <c r="M215" s="1607"/>
      <c r="N215" s="1607"/>
      <c r="O215" s="1607"/>
      <c r="P215" s="1607"/>
      <c r="Q215" s="1607"/>
      <c r="R215" s="1607"/>
      <c r="S215" s="1607"/>
      <c r="T215" s="1607"/>
      <c r="U215" s="1607"/>
      <c r="V215" s="1186"/>
      <c r="W215" s="1186"/>
      <c r="X215" s="1186"/>
      <c r="AC215" s="1186"/>
      <c r="AD215" s="1186"/>
      <c r="AE215" s="1186"/>
      <c r="AF215" s="1186"/>
      <c r="AG215" s="1186"/>
      <c r="AH215" s="1186"/>
      <c r="AI215" s="1186"/>
      <c r="AJ215" s="1186"/>
      <c r="AK215" s="1186"/>
      <c r="AL215" s="1160"/>
      <c r="AM215" s="1160"/>
      <c r="AN215" s="1160"/>
      <c r="AO215" s="1160"/>
      <c r="AP215" s="1160"/>
      <c r="AQ215" s="1160"/>
      <c r="AR215" s="1160"/>
      <c r="AS215" s="1160"/>
      <c r="AT215" s="1160"/>
      <c r="AU215" s="1160"/>
      <c r="AV215" s="1160"/>
      <c r="AW215" s="1160"/>
      <c r="AX215" s="1160"/>
      <c r="AY215" s="1160"/>
      <c r="AZ215" s="1160"/>
      <c r="BA215" s="1160"/>
      <c r="BB215" s="1160"/>
      <c r="BC215" s="1160"/>
      <c r="BD215" s="1160"/>
      <c r="BE215" s="1160"/>
      <c r="BF215" s="1160"/>
      <c r="BG215" s="1160"/>
      <c r="BH215" s="1160"/>
    </row>
    <row r="216" spans="2:60" s="739" customFormat="1" x14ac:dyDescent="0.2">
      <c r="B216" s="1607"/>
      <c r="C216" s="1607"/>
      <c r="D216" s="1607"/>
      <c r="E216" s="1607"/>
      <c r="F216" s="1607"/>
      <c r="G216" s="1607"/>
      <c r="H216" s="1607"/>
      <c r="I216" s="1607"/>
      <c r="J216" s="1607"/>
      <c r="K216" s="1607"/>
      <c r="L216" s="1607"/>
      <c r="M216" s="1607"/>
      <c r="N216" s="1607"/>
      <c r="O216" s="1607"/>
      <c r="P216" s="1607"/>
      <c r="Q216" s="1607"/>
      <c r="R216" s="1607"/>
      <c r="S216" s="1607"/>
      <c r="T216" s="1607"/>
      <c r="U216" s="1607"/>
      <c r="V216" s="853"/>
      <c r="W216" s="853"/>
      <c r="X216" s="853"/>
      <c r="AC216" s="853"/>
      <c r="AD216" s="853"/>
      <c r="AE216" s="853"/>
      <c r="AF216" s="853"/>
      <c r="AG216" s="853"/>
      <c r="AH216" s="853"/>
      <c r="AI216" s="853"/>
      <c r="AJ216" s="853"/>
      <c r="AK216" s="853"/>
      <c r="AL216" s="1160"/>
      <c r="AM216" s="1160"/>
      <c r="AN216" s="1160"/>
      <c r="AO216" s="1160"/>
      <c r="AP216" s="1160"/>
      <c r="AQ216" s="1160"/>
      <c r="AR216" s="1160"/>
      <c r="AS216" s="1160"/>
      <c r="AT216" s="1160"/>
      <c r="AU216" s="1160"/>
      <c r="AV216" s="1160"/>
      <c r="AW216" s="1160"/>
      <c r="AX216" s="1160"/>
      <c r="AY216" s="1160"/>
      <c r="AZ216" s="1160"/>
      <c r="BA216" s="1160"/>
      <c r="BB216" s="1160"/>
      <c r="BC216" s="1160"/>
      <c r="BD216" s="1160"/>
      <c r="BE216" s="1160"/>
      <c r="BF216" s="1160"/>
      <c r="BG216" s="1160"/>
      <c r="BH216" s="1160"/>
    </row>
    <row r="217" spans="2:60" s="739" customFormat="1" x14ac:dyDescent="0.2">
      <c r="B217" s="1607"/>
      <c r="C217" s="1607"/>
      <c r="D217" s="1607"/>
      <c r="E217" s="1607"/>
      <c r="F217" s="1607"/>
      <c r="G217" s="1607"/>
      <c r="H217" s="1607"/>
      <c r="I217" s="1607"/>
      <c r="J217" s="1607"/>
      <c r="K217" s="1607"/>
      <c r="L217" s="1607"/>
      <c r="M217" s="1607"/>
      <c r="N217" s="1607"/>
      <c r="O217" s="1607"/>
      <c r="P217" s="1607"/>
      <c r="Q217" s="1607"/>
      <c r="R217" s="1607"/>
      <c r="S217" s="1607"/>
      <c r="T217" s="1607"/>
      <c r="U217" s="1607"/>
      <c r="V217" s="853"/>
      <c r="W217" s="853"/>
      <c r="X217" s="853"/>
      <c r="AC217" s="853"/>
      <c r="AD217" s="853"/>
      <c r="AE217" s="853"/>
      <c r="AF217" s="853"/>
      <c r="AG217" s="853"/>
      <c r="AH217" s="853"/>
      <c r="AI217" s="853"/>
      <c r="AJ217" s="853"/>
      <c r="AK217" s="853"/>
      <c r="AL217" s="1160"/>
      <c r="AM217" s="1160"/>
      <c r="AN217" s="1160"/>
      <c r="AO217" s="1160"/>
      <c r="AP217" s="1160"/>
      <c r="AQ217" s="1160"/>
      <c r="AR217" s="1160"/>
      <c r="AS217" s="1160"/>
      <c r="AT217" s="1160"/>
      <c r="AU217" s="1160"/>
      <c r="AV217" s="1160"/>
      <c r="AW217" s="1160"/>
      <c r="AX217" s="1160"/>
      <c r="AY217" s="1160"/>
      <c r="AZ217" s="1160"/>
      <c r="BA217" s="1160"/>
      <c r="BB217" s="1160"/>
      <c r="BC217" s="1160"/>
      <c r="BD217" s="1160"/>
      <c r="BE217" s="1160"/>
      <c r="BF217" s="1160"/>
      <c r="BG217" s="1160"/>
      <c r="BH217" s="1160"/>
    </row>
    <row r="218" spans="2:60" s="739" customFormat="1" x14ac:dyDescent="0.2">
      <c r="B218" s="1607"/>
      <c r="C218" s="1607"/>
      <c r="D218" s="1607"/>
      <c r="E218" s="1607"/>
      <c r="F218" s="1607"/>
      <c r="G218" s="1607"/>
      <c r="H218" s="1607"/>
      <c r="I218" s="1607"/>
      <c r="J218" s="1607"/>
      <c r="K218" s="1607"/>
      <c r="L218" s="1607"/>
      <c r="M218" s="1607"/>
      <c r="N218" s="1607"/>
      <c r="O218" s="1607"/>
      <c r="P218" s="1607"/>
      <c r="Q218" s="1607"/>
      <c r="R218" s="1607"/>
      <c r="S218" s="1607"/>
      <c r="T218" s="1607"/>
      <c r="U218" s="1607"/>
      <c r="V218" s="853"/>
      <c r="W218" s="853"/>
      <c r="X218" s="853"/>
      <c r="AC218" s="853"/>
      <c r="AD218" s="853"/>
      <c r="AE218" s="853"/>
      <c r="AF218" s="853"/>
      <c r="AG218" s="853"/>
      <c r="AH218" s="853"/>
      <c r="AI218" s="853"/>
      <c r="AJ218" s="853"/>
      <c r="AK218" s="853"/>
      <c r="AL218" s="1160"/>
      <c r="AM218" s="1160"/>
      <c r="AN218" s="1160"/>
      <c r="AO218" s="1160"/>
      <c r="AP218" s="1160"/>
      <c r="AQ218" s="1160"/>
      <c r="AR218" s="1160"/>
      <c r="AS218" s="1160"/>
      <c r="AT218" s="1160"/>
      <c r="AU218" s="1160"/>
      <c r="AV218" s="1160"/>
      <c r="AW218" s="1160"/>
      <c r="AX218" s="1160"/>
      <c r="AY218" s="1160"/>
      <c r="AZ218" s="1160"/>
      <c r="BA218" s="1160"/>
      <c r="BB218" s="1160"/>
      <c r="BC218" s="1160"/>
      <c r="BD218" s="1160"/>
      <c r="BE218" s="1160"/>
      <c r="BF218" s="1160"/>
      <c r="BG218" s="1160"/>
      <c r="BH218" s="1160"/>
    </row>
    <row r="219" spans="2:60" s="739" customFormat="1" x14ac:dyDescent="0.2">
      <c r="B219" s="1607"/>
      <c r="C219" s="1607"/>
      <c r="D219" s="1607"/>
      <c r="E219" s="1607"/>
      <c r="F219" s="1607"/>
      <c r="G219" s="1607"/>
      <c r="H219" s="1607"/>
      <c r="I219" s="1607"/>
      <c r="J219" s="1607"/>
      <c r="K219" s="1607"/>
      <c r="L219" s="1607"/>
      <c r="M219" s="1607"/>
      <c r="N219" s="1607"/>
      <c r="O219" s="1607"/>
      <c r="P219" s="1607"/>
      <c r="Q219" s="1607"/>
      <c r="R219" s="1607"/>
      <c r="S219" s="1607"/>
      <c r="T219" s="1607"/>
      <c r="U219" s="1607"/>
      <c r="V219" s="853"/>
      <c r="W219" s="853"/>
      <c r="X219" s="853"/>
      <c r="AC219" s="853"/>
      <c r="AD219" s="853"/>
      <c r="AE219" s="853"/>
      <c r="AF219" s="853"/>
      <c r="AG219" s="853"/>
      <c r="AH219" s="853"/>
      <c r="AI219" s="853"/>
      <c r="AJ219" s="853"/>
      <c r="AK219" s="853"/>
      <c r="AL219" s="1160"/>
      <c r="AM219" s="1160"/>
      <c r="AN219" s="1160"/>
      <c r="AO219" s="1160"/>
      <c r="AP219" s="1160"/>
      <c r="AQ219" s="1160"/>
      <c r="AR219" s="1160"/>
      <c r="AS219" s="1160"/>
      <c r="AT219" s="1160"/>
      <c r="AU219" s="1160"/>
      <c r="AV219" s="1160"/>
      <c r="AW219" s="1160"/>
      <c r="AX219" s="1160"/>
      <c r="AY219" s="1160"/>
      <c r="AZ219" s="1160"/>
      <c r="BA219" s="1160"/>
      <c r="BB219" s="1160"/>
      <c r="BC219" s="1160"/>
      <c r="BD219" s="1160"/>
      <c r="BE219" s="1160"/>
      <c r="BF219" s="1160"/>
      <c r="BG219" s="1160"/>
      <c r="BH219" s="1160"/>
    </row>
    <row r="220" spans="2:60" s="1605" customFormat="1" x14ac:dyDescent="0.2">
      <c r="B220" s="1607"/>
      <c r="C220" s="1607"/>
      <c r="D220" s="1607"/>
      <c r="E220" s="1607"/>
      <c r="F220" s="1607"/>
      <c r="G220" s="1607"/>
      <c r="H220" s="1607"/>
      <c r="I220" s="1607"/>
      <c r="J220" s="1607"/>
      <c r="K220" s="1607"/>
      <c r="L220" s="1607"/>
      <c r="M220" s="1607"/>
      <c r="N220" s="1607"/>
      <c r="O220" s="1607"/>
      <c r="P220" s="1607"/>
      <c r="Q220" s="1607"/>
      <c r="R220" s="1607"/>
      <c r="S220" s="1607"/>
      <c r="T220" s="1607"/>
      <c r="U220" s="1607"/>
      <c r="V220" s="1186"/>
      <c r="W220" s="1186"/>
      <c r="X220" s="1186"/>
      <c r="AC220" s="1186"/>
      <c r="AD220" s="1186"/>
      <c r="AE220" s="1186"/>
      <c r="AF220" s="1186"/>
      <c r="AG220" s="1186"/>
      <c r="AH220" s="1186"/>
      <c r="AI220" s="1186"/>
      <c r="AJ220" s="1186"/>
      <c r="AK220" s="1186"/>
      <c r="AL220" s="1160"/>
      <c r="AM220" s="1160"/>
      <c r="AN220" s="1160"/>
      <c r="AO220" s="1160"/>
      <c r="AP220" s="1160"/>
      <c r="AQ220" s="1160"/>
      <c r="AR220" s="1160"/>
      <c r="AS220" s="1160"/>
      <c r="AT220" s="1160"/>
      <c r="AU220" s="1160"/>
      <c r="AV220" s="1160"/>
      <c r="AW220" s="1160"/>
      <c r="AX220" s="1160"/>
      <c r="AY220" s="1160"/>
      <c r="AZ220" s="1160"/>
      <c r="BA220" s="1160"/>
      <c r="BB220" s="1160"/>
      <c r="BC220" s="1160"/>
      <c r="BD220" s="1160"/>
      <c r="BE220" s="1160"/>
      <c r="BF220" s="1160"/>
      <c r="BG220" s="1160"/>
      <c r="BH220" s="1160"/>
    </row>
    <row r="221" spans="2:60" s="739" customFormat="1" x14ac:dyDescent="0.2">
      <c r="B221" s="1607"/>
      <c r="C221" s="1607"/>
      <c r="D221" s="1607"/>
      <c r="E221" s="1607"/>
      <c r="F221" s="1607"/>
      <c r="G221" s="1607"/>
      <c r="H221" s="1607"/>
      <c r="I221" s="1607"/>
      <c r="J221" s="1607"/>
      <c r="K221" s="1607"/>
      <c r="L221" s="1607"/>
      <c r="M221" s="1607"/>
      <c r="N221" s="1607"/>
      <c r="O221" s="1607"/>
      <c r="P221" s="1607"/>
      <c r="Q221" s="1607"/>
      <c r="R221" s="1607"/>
      <c r="S221" s="1607"/>
      <c r="T221" s="1607"/>
      <c r="U221" s="1607"/>
      <c r="V221" s="853"/>
      <c r="W221" s="853"/>
      <c r="X221" s="853"/>
      <c r="AC221" s="853"/>
      <c r="AD221" s="853"/>
      <c r="AE221" s="853"/>
      <c r="AF221" s="853"/>
      <c r="AG221" s="853"/>
      <c r="AH221" s="853"/>
      <c r="AI221" s="853"/>
      <c r="AJ221" s="853"/>
      <c r="AK221" s="853"/>
      <c r="AL221" s="1160"/>
      <c r="AM221" s="1160"/>
      <c r="AN221" s="1160"/>
      <c r="AO221" s="1160"/>
      <c r="AP221" s="1160"/>
      <c r="AQ221" s="1160"/>
      <c r="AR221" s="1160"/>
      <c r="AS221" s="1160"/>
      <c r="AT221" s="1160"/>
      <c r="AU221" s="1160"/>
      <c r="AV221" s="1160"/>
      <c r="AW221" s="1160"/>
      <c r="AX221" s="1160"/>
      <c r="AY221" s="1160"/>
      <c r="AZ221" s="1160"/>
      <c r="BA221" s="1160"/>
      <c r="BB221" s="1160"/>
      <c r="BC221" s="1160"/>
      <c r="BD221" s="1160"/>
      <c r="BE221" s="1160"/>
      <c r="BF221" s="1160"/>
      <c r="BG221" s="1160"/>
      <c r="BH221" s="1160"/>
    </row>
    <row r="222" spans="2:60" s="739" customFormat="1" x14ac:dyDescent="0.2">
      <c r="B222" s="1607"/>
      <c r="C222" s="1607"/>
      <c r="D222" s="1607"/>
      <c r="E222" s="1607"/>
      <c r="F222" s="1607"/>
      <c r="G222" s="1607"/>
      <c r="H222" s="1607"/>
      <c r="I222" s="1607"/>
      <c r="J222" s="1607"/>
      <c r="K222" s="1607"/>
      <c r="L222" s="1607"/>
      <c r="M222" s="1607"/>
      <c r="N222" s="1607"/>
      <c r="O222" s="1607"/>
      <c r="P222" s="1607"/>
      <c r="Q222" s="1607"/>
      <c r="R222" s="1607"/>
      <c r="S222" s="1607"/>
      <c r="T222" s="1607"/>
      <c r="U222" s="1607"/>
      <c r="V222" s="853"/>
      <c r="W222" s="853"/>
      <c r="X222" s="853"/>
      <c r="AC222" s="853"/>
      <c r="AD222" s="853"/>
      <c r="AE222" s="853"/>
      <c r="AF222" s="853"/>
      <c r="AG222" s="853"/>
      <c r="AH222" s="853"/>
      <c r="AI222" s="853"/>
      <c r="AJ222" s="853"/>
      <c r="AK222" s="853"/>
      <c r="AL222" s="1160"/>
      <c r="AM222" s="1160"/>
      <c r="AN222" s="1160"/>
      <c r="AO222" s="1160"/>
      <c r="AP222" s="1160"/>
      <c r="AQ222" s="1160"/>
      <c r="AR222" s="1160"/>
      <c r="AS222" s="1160"/>
      <c r="AT222" s="1160"/>
      <c r="AU222" s="1160"/>
      <c r="AV222" s="1160"/>
      <c r="AW222" s="1160"/>
      <c r="AX222" s="1160"/>
      <c r="AY222" s="1160"/>
      <c r="AZ222" s="1160"/>
      <c r="BA222" s="1160"/>
      <c r="BB222" s="1160"/>
      <c r="BC222" s="1160"/>
      <c r="BD222" s="1160"/>
      <c r="BE222" s="1160"/>
      <c r="BF222" s="1160"/>
      <c r="BG222" s="1160"/>
      <c r="BH222" s="1160"/>
    </row>
    <row r="223" spans="2:60" s="739" customFormat="1" x14ac:dyDescent="0.2">
      <c r="B223" s="1607"/>
      <c r="C223" s="1607"/>
      <c r="D223" s="1607"/>
      <c r="E223" s="1607"/>
      <c r="F223" s="1607"/>
      <c r="G223" s="1607"/>
      <c r="H223" s="1607"/>
      <c r="I223" s="1607"/>
      <c r="J223" s="1607"/>
      <c r="K223" s="1607"/>
      <c r="L223" s="1607"/>
      <c r="M223" s="1607"/>
      <c r="N223" s="1607"/>
      <c r="O223" s="1607"/>
      <c r="P223" s="1607"/>
      <c r="Q223" s="1607"/>
      <c r="R223" s="1607"/>
      <c r="S223" s="1607"/>
      <c r="T223" s="1607"/>
      <c r="U223" s="1607"/>
      <c r="V223" s="853"/>
      <c r="W223" s="853"/>
      <c r="X223" s="853"/>
      <c r="AC223" s="853"/>
      <c r="AD223" s="853"/>
      <c r="AE223" s="853"/>
      <c r="AF223" s="853"/>
      <c r="AG223" s="853"/>
      <c r="AH223" s="853"/>
      <c r="AI223" s="853"/>
      <c r="AJ223" s="853"/>
      <c r="AK223" s="853"/>
      <c r="AL223" s="1160"/>
      <c r="AM223" s="1160"/>
      <c r="AN223" s="1160"/>
      <c r="AO223" s="1160"/>
      <c r="AP223" s="1160"/>
      <c r="AQ223" s="1160"/>
      <c r="AR223" s="1160"/>
      <c r="AS223" s="1160"/>
      <c r="AT223" s="1160"/>
      <c r="AU223" s="1160"/>
      <c r="AV223" s="1160"/>
      <c r="AW223" s="1160"/>
      <c r="AX223" s="1160"/>
      <c r="AY223" s="1160"/>
      <c r="AZ223" s="1160"/>
      <c r="BA223" s="1160"/>
      <c r="BB223" s="1160"/>
      <c r="BC223" s="1160"/>
      <c r="BD223" s="1160"/>
      <c r="BE223" s="1160"/>
      <c r="BF223" s="1160"/>
      <c r="BG223" s="1160"/>
      <c r="BH223" s="1160"/>
    </row>
    <row r="224" spans="2:60" s="739" customFormat="1" x14ac:dyDescent="0.2">
      <c r="B224" s="1607"/>
      <c r="C224" s="1607"/>
      <c r="D224" s="1607"/>
      <c r="E224" s="1607"/>
      <c r="F224" s="1607"/>
      <c r="G224" s="1607"/>
      <c r="H224" s="1607"/>
      <c r="I224" s="1607"/>
      <c r="J224" s="1607"/>
      <c r="K224" s="1607"/>
      <c r="L224" s="1607"/>
      <c r="M224" s="1607"/>
      <c r="N224" s="1607"/>
      <c r="O224" s="1607"/>
      <c r="P224" s="1607"/>
      <c r="Q224" s="1607"/>
      <c r="R224" s="1607"/>
      <c r="S224" s="1607"/>
      <c r="T224" s="1607"/>
      <c r="U224" s="1607"/>
      <c r="V224" s="853"/>
      <c r="W224" s="853"/>
      <c r="X224" s="853"/>
      <c r="AC224" s="853"/>
      <c r="AD224" s="853"/>
      <c r="AE224" s="853"/>
      <c r="AF224" s="853"/>
      <c r="AG224" s="853"/>
      <c r="AH224" s="853"/>
      <c r="AI224" s="853"/>
      <c r="AJ224" s="853"/>
      <c r="AK224" s="853"/>
      <c r="AL224" s="1160"/>
      <c r="AM224" s="1160"/>
      <c r="AN224" s="1160"/>
      <c r="AO224" s="1160"/>
      <c r="AP224" s="1160"/>
      <c r="AQ224" s="1160"/>
      <c r="AR224" s="1160"/>
      <c r="AS224" s="1160"/>
      <c r="AT224" s="1160"/>
      <c r="AU224" s="1160"/>
      <c r="AV224" s="1160"/>
      <c r="AW224" s="1160"/>
      <c r="AX224" s="1160"/>
      <c r="AY224" s="1160"/>
      <c r="AZ224" s="1160"/>
      <c r="BA224" s="1160"/>
      <c r="BB224" s="1160"/>
      <c r="BC224" s="1160"/>
      <c r="BD224" s="1160"/>
      <c r="BE224" s="1160"/>
      <c r="BF224" s="1160"/>
      <c r="BG224" s="1160"/>
      <c r="BH224" s="1160"/>
    </row>
    <row r="225" spans="2:60" s="1605" customFormat="1" x14ac:dyDescent="0.2">
      <c r="B225" s="1607"/>
      <c r="C225" s="1607"/>
      <c r="D225" s="1607"/>
      <c r="E225" s="1607"/>
      <c r="F225" s="1607"/>
      <c r="G225" s="1607"/>
      <c r="H225" s="1607"/>
      <c r="I225" s="1607"/>
      <c r="J225" s="1607"/>
      <c r="K225" s="1607"/>
      <c r="L225" s="1607"/>
      <c r="M225" s="1607"/>
      <c r="N225" s="1607"/>
      <c r="O225" s="1607"/>
      <c r="P225" s="1607"/>
      <c r="Q225" s="1607"/>
      <c r="R225" s="1607"/>
      <c r="S225" s="1607"/>
      <c r="T225" s="1607"/>
      <c r="U225" s="1607"/>
      <c r="V225" s="1186"/>
      <c r="W225" s="1186"/>
      <c r="X225" s="1186"/>
      <c r="AC225" s="1186"/>
      <c r="AD225" s="1186"/>
      <c r="AE225" s="1186"/>
      <c r="AF225" s="1186"/>
      <c r="AG225" s="1186"/>
      <c r="AH225" s="1186"/>
      <c r="AI225" s="1186"/>
      <c r="AJ225" s="1186"/>
      <c r="AK225" s="1186"/>
      <c r="AL225" s="1160"/>
      <c r="AM225" s="1160"/>
      <c r="AN225" s="1160"/>
      <c r="AO225" s="1160"/>
      <c r="AP225" s="1160"/>
      <c r="AQ225" s="1160"/>
      <c r="AR225" s="1160"/>
      <c r="AS225" s="1160"/>
      <c r="AT225" s="1160"/>
      <c r="AU225" s="1160"/>
      <c r="AV225" s="1160"/>
      <c r="AW225" s="1160"/>
      <c r="AX225" s="1160"/>
      <c r="AY225" s="1160"/>
      <c r="AZ225" s="1160"/>
      <c r="BA225" s="1160"/>
      <c r="BB225" s="1160"/>
      <c r="BC225" s="1160"/>
      <c r="BD225" s="1160"/>
      <c r="BE225" s="1160"/>
      <c r="BF225" s="1160"/>
      <c r="BG225" s="1160"/>
      <c r="BH225" s="1160"/>
    </row>
    <row r="226" spans="2:60" s="739" customFormat="1" x14ac:dyDescent="0.2">
      <c r="B226" s="1607"/>
      <c r="C226" s="1607"/>
      <c r="D226" s="1607"/>
      <c r="E226" s="1607"/>
      <c r="F226" s="1607"/>
      <c r="G226" s="1607"/>
      <c r="H226" s="1607"/>
      <c r="I226" s="1607"/>
      <c r="J226" s="1607"/>
      <c r="K226" s="1607"/>
      <c r="L226" s="1607"/>
      <c r="M226" s="1607"/>
      <c r="N226" s="1607"/>
      <c r="O226" s="1607"/>
      <c r="P226" s="1607"/>
      <c r="Q226" s="1607"/>
      <c r="R226" s="1607"/>
      <c r="S226" s="1607"/>
      <c r="T226" s="1607"/>
      <c r="U226" s="1607"/>
      <c r="V226" s="853"/>
      <c r="W226" s="853"/>
      <c r="X226" s="853"/>
      <c r="AC226" s="853"/>
      <c r="AD226" s="853"/>
      <c r="AE226" s="853"/>
      <c r="AF226" s="853"/>
      <c r="AG226" s="853"/>
      <c r="AH226" s="853"/>
      <c r="AI226" s="853"/>
      <c r="AJ226" s="853"/>
      <c r="AK226" s="853"/>
      <c r="AL226" s="1160"/>
      <c r="AM226" s="1160"/>
      <c r="AN226" s="1160"/>
      <c r="AO226" s="1160"/>
      <c r="AP226" s="1160"/>
      <c r="AQ226" s="1160"/>
      <c r="AR226" s="1160"/>
      <c r="AS226" s="1160"/>
      <c r="AT226" s="1160"/>
      <c r="AU226" s="1160"/>
      <c r="AV226" s="1160"/>
      <c r="AW226" s="1160"/>
      <c r="AX226" s="1160"/>
      <c r="AY226" s="1160"/>
      <c r="AZ226" s="1160"/>
      <c r="BA226" s="1160"/>
      <c r="BB226" s="1160"/>
      <c r="BC226" s="1160"/>
      <c r="BD226" s="1160"/>
      <c r="BE226" s="1160"/>
      <c r="BF226" s="1160"/>
      <c r="BG226" s="1160"/>
      <c r="BH226" s="1160"/>
    </row>
    <row r="227" spans="2:60" s="739" customFormat="1" x14ac:dyDescent="0.2">
      <c r="B227" s="1607"/>
      <c r="C227" s="1607"/>
      <c r="D227" s="1607"/>
      <c r="E227" s="1607"/>
      <c r="F227" s="1607"/>
      <c r="G227" s="1607"/>
      <c r="H227" s="1607"/>
      <c r="I227" s="1607"/>
      <c r="J227" s="1607"/>
      <c r="K227" s="1607"/>
      <c r="L227" s="1607"/>
      <c r="M227" s="1607"/>
      <c r="N227" s="1607"/>
      <c r="O227" s="1607"/>
      <c r="P227" s="1607"/>
      <c r="Q227" s="1607"/>
      <c r="R227" s="1607"/>
      <c r="S227" s="1607"/>
      <c r="T227" s="1607"/>
      <c r="U227" s="1607"/>
      <c r="V227" s="853"/>
      <c r="W227" s="853"/>
      <c r="X227" s="853"/>
      <c r="AC227" s="853"/>
      <c r="AD227" s="853"/>
      <c r="AE227" s="853"/>
      <c r="AF227" s="853"/>
      <c r="AG227" s="853"/>
      <c r="AH227" s="853"/>
      <c r="AI227" s="853"/>
      <c r="AJ227" s="853"/>
      <c r="AK227" s="853"/>
      <c r="AL227" s="1160"/>
      <c r="AM227" s="1160"/>
      <c r="AN227" s="1160"/>
      <c r="AO227" s="1160"/>
      <c r="AP227" s="1160"/>
      <c r="AQ227" s="1160"/>
      <c r="AR227" s="1160"/>
      <c r="AS227" s="1160"/>
      <c r="AT227" s="1160"/>
      <c r="AU227" s="1160"/>
      <c r="AV227" s="1160"/>
      <c r="AW227" s="1160"/>
      <c r="AX227" s="1160"/>
      <c r="AY227" s="1160"/>
      <c r="AZ227" s="1160"/>
      <c r="BA227" s="1160"/>
      <c r="BB227" s="1160"/>
      <c r="BC227" s="1160"/>
      <c r="BD227" s="1160"/>
      <c r="BE227" s="1160"/>
      <c r="BF227" s="1160"/>
      <c r="BG227" s="1160"/>
      <c r="BH227" s="1160"/>
    </row>
    <row r="228" spans="2:60" s="739" customFormat="1" x14ac:dyDescent="0.2">
      <c r="B228" s="1607"/>
      <c r="C228" s="1607"/>
      <c r="D228" s="1607"/>
      <c r="E228" s="1607"/>
      <c r="F228" s="1607"/>
      <c r="G228" s="1607"/>
      <c r="H228" s="1607"/>
      <c r="I228" s="1607"/>
      <c r="J228" s="1607"/>
      <c r="K228" s="1607"/>
      <c r="L228" s="1607"/>
      <c r="M228" s="1607"/>
      <c r="N228" s="1607"/>
      <c r="O228" s="1607"/>
      <c r="P228" s="1607"/>
      <c r="Q228" s="1607"/>
      <c r="R228" s="1607"/>
      <c r="S228" s="1607"/>
      <c r="T228" s="1607"/>
      <c r="U228" s="1607"/>
      <c r="V228" s="853"/>
      <c r="W228" s="853"/>
      <c r="X228" s="853"/>
      <c r="AC228" s="853"/>
      <c r="AD228" s="853"/>
      <c r="AE228" s="853"/>
      <c r="AF228" s="853"/>
      <c r="AG228" s="853"/>
      <c r="AH228" s="853"/>
      <c r="AI228" s="853"/>
      <c r="AJ228" s="853"/>
      <c r="AK228" s="853"/>
      <c r="AL228" s="1160"/>
      <c r="AM228" s="1160"/>
      <c r="AN228" s="1160"/>
      <c r="AO228" s="1160"/>
      <c r="AP228" s="1160"/>
      <c r="AQ228" s="1160"/>
      <c r="AR228" s="1160"/>
      <c r="AS228" s="1160"/>
      <c r="AT228" s="1160"/>
      <c r="AU228" s="1160"/>
      <c r="AV228" s="1160"/>
      <c r="AW228" s="1160"/>
      <c r="AX228" s="1160"/>
      <c r="AY228" s="1160"/>
      <c r="AZ228" s="1160"/>
      <c r="BA228" s="1160"/>
      <c r="BB228" s="1160"/>
      <c r="BC228" s="1160"/>
      <c r="BD228" s="1160"/>
      <c r="BE228" s="1160"/>
      <c r="BF228" s="1160"/>
      <c r="BG228" s="1160"/>
      <c r="BH228" s="1160"/>
    </row>
    <row r="229" spans="2:60" s="739" customFormat="1" x14ac:dyDescent="0.2">
      <c r="B229" s="1607"/>
      <c r="C229" s="1607"/>
      <c r="D229" s="1607"/>
      <c r="E229" s="1607"/>
      <c r="F229" s="1607"/>
      <c r="G229" s="1607"/>
      <c r="H229" s="1607"/>
      <c r="I229" s="1607"/>
      <c r="J229" s="1607"/>
      <c r="K229" s="1607"/>
      <c r="L229" s="1607"/>
      <c r="M229" s="1607"/>
      <c r="N229" s="1607"/>
      <c r="O229" s="1607"/>
      <c r="P229" s="1607"/>
      <c r="Q229" s="1607"/>
      <c r="R229" s="1607"/>
      <c r="S229" s="1607"/>
      <c r="T229" s="1607"/>
      <c r="U229" s="1607"/>
      <c r="V229" s="853"/>
      <c r="W229" s="853"/>
      <c r="X229" s="853"/>
      <c r="AC229" s="853"/>
      <c r="AD229" s="853"/>
      <c r="AE229" s="853"/>
      <c r="AF229" s="853"/>
      <c r="AG229" s="853"/>
      <c r="AH229" s="853"/>
      <c r="AI229" s="853"/>
      <c r="AJ229" s="853"/>
      <c r="AK229" s="853"/>
      <c r="AL229" s="1160"/>
      <c r="AM229" s="1160"/>
      <c r="AN229" s="1160"/>
      <c r="AO229" s="1160"/>
      <c r="AP229" s="1160"/>
      <c r="AQ229" s="1160"/>
      <c r="AR229" s="1160"/>
      <c r="AS229" s="1160"/>
      <c r="AT229" s="1160"/>
      <c r="AU229" s="1160"/>
      <c r="AV229" s="1160"/>
      <c r="AW229" s="1160"/>
      <c r="AX229" s="1160"/>
      <c r="AY229" s="1160"/>
      <c r="AZ229" s="1160"/>
      <c r="BA229" s="1160"/>
      <c r="BB229" s="1160"/>
      <c r="BC229" s="1160"/>
      <c r="BD229" s="1160"/>
      <c r="BE229" s="1160"/>
      <c r="BF229" s="1160"/>
      <c r="BG229" s="1160"/>
      <c r="BH229" s="1160"/>
    </row>
    <row r="230" spans="2:60" s="1605" customFormat="1" x14ac:dyDescent="0.2">
      <c r="B230" s="1607"/>
      <c r="C230" s="1607"/>
      <c r="D230" s="1607"/>
      <c r="E230" s="1607"/>
      <c r="F230" s="1607"/>
      <c r="G230" s="1607"/>
      <c r="H230" s="1607"/>
      <c r="I230" s="1607"/>
      <c r="J230" s="1607"/>
      <c r="K230" s="1607"/>
      <c r="L230" s="1607"/>
      <c r="M230" s="1607"/>
      <c r="N230" s="1607"/>
      <c r="O230" s="1607"/>
      <c r="P230" s="1607"/>
      <c r="Q230" s="1607"/>
      <c r="R230" s="1607"/>
      <c r="S230" s="1607"/>
      <c r="T230" s="1607"/>
      <c r="U230" s="1607"/>
      <c r="V230" s="1186"/>
      <c r="W230" s="1186"/>
      <c r="X230" s="1186"/>
      <c r="AC230" s="1186"/>
      <c r="AD230" s="1186"/>
      <c r="AE230" s="1186"/>
      <c r="AF230" s="1186"/>
      <c r="AG230" s="1186"/>
      <c r="AH230" s="1186"/>
      <c r="AI230" s="1186"/>
      <c r="AJ230" s="1186"/>
      <c r="AK230" s="1186"/>
      <c r="AL230" s="1160"/>
      <c r="AM230" s="1160"/>
      <c r="AN230" s="1160"/>
      <c r="AO230" s="1160"/>
      <c r="AP230" s="1160"/>
      <c r="AQ230" s="1160"/>
      <c r="AR230" s="1160"/>
      <c r="AS230" s="1160"/>
      <c r="AT230" s="1160"/>
      <c r="AU230" s="1160"/>
      <c r="AV230" s="1160"/>
      <c r="AW230" s="1160"/>
      <c r="AX230" s="1160"/>
      <c r="AY230" s="1160"/>
      <c r="AZ230" s="1160"/>
      <c r="BA230" s="1160"/>
      <c r="BB230" s="1160"/>
      <c r="BC230" s="1160"/>
      <c r="BD230" s="1160"/>
      <c r="BE230" s="1160"/>
      <c r="BF230" s="1160"/>
      <c r="BG230" s="1160"/>
      <c r="BH230" s="1160"/>
    </row>
    <row r="231" spans="2:60" s="739" customFormat="1" x14ac:dyDescent="0.2">
      <c r="B231" s="1607"/>
      <c r="C231" s="1607"/>
      <c r="D231" s="1607"/>
      <c r="E231" s="1607"/>
      <c r="F231" s="1607"/>
      <c r="G231" s="1607"/>
      <c r="H231" s="1607"/>
      <c r="I231" s="1607"/>
      <c r="J231" s="1607"/>
      <c r="K231" s="1607"/>
      <c r="L231" s="1607"/>
      <c r="M231" s="1607"/>
      <c r="N231" s="1607"/>
      <c r="O231" s="1607"/>
      <c r="P231" s="1607"/>
      <c r="Q231" s="1607"/>
      <c r="R231" s="1607"/>
      <c r="S231" s="1607"/>
      <c r="T231" s="1607"/>
      <c r="U231" s="1607"/>
      <c r="V231" s="853"/>
      <c r="W231" s="853"/>
      <c r="X231" s="853"/>
      <c r="AC231" s="853"/>
      <c r="AD231" s="853"/>
      <c r="AE231" s="853"/>
      <c r="AF231" s="853"/>
      <c r="AG231" s="853"/>
      <c r="AH231" s="853"/>
      <c r="AI231" s="853"/>
      <c r="AJ231" s="853"/>
      <c r="AK231" s="853"/>
      <c r="AL231" s="1160"/>
      <c r="AM231" s="1160"/>
      <c r="AN231" s="1160"/>
      <c r="AO231" s="1160"/>
      <c r="AP231" s="1160"/>
      <c r="AQ231" s="1160"/>
      <c r="AR231" s="1160"/>
      <c r="AS231" s="1160"/>
      <c r="AT231" s="1160"/>
      <c r="AU231" s="1160"/>
      <c r="AV231" s="1160"/>
      <c r="AW231" s="1160"/>
      <c r="AX231" s="1160"/>
      <c r="AY231" s="1160"/>
      <c r="AZ231" s="1160"/>
      <c r="BA231" s="1160"/>
      <c r="BB231" s="1160"/>
      <c r="BC231" s="1160"/>
      <c r="BD231" s="1160"/>
      <c r="BE231" s="1160"/>
      <c r="BF231" s="1160"/>
      <c r="BG231" s="1160"/>
      <c r="BH231" s="1160"/>
    </row>
    <row r="232" spans="2:60" s="739" customFormat="1" x14ac:dyDescent="0.2">
      <c r="B232" s="1607"/>
      <c r="C232" s="1607"/>
      <c r="D232" s="1607"/>
      <c r="E232" s="1607"/>
      <c r="F232" s="1607"/>
      <c r="G232" s="1607"/>
      <c r="H232" s="1607"/>
      <c r="I232" s="1607"/>
      <c r="J232" s="1607"/>
      <c r="K232" s="1607"/>
      <c r="L232" s="1607"/>
      <c r="M232" s="1607"/>
      <c r="N232" s="1607"/>
      <c r="O232" s="1607"/>
      <c r="P232" s="1607"/>
      <c r="Q232" s="1607"/>
      <c r="R232" s="1607"/>
      <c r="S232" s="1607"/>
      <c r="T232" s="1607"/>
      <c r="U232" s="1607"/>
      <c r="V232" s="853"/>
      <c r="W232" s="853"/>
      <c r="X232" s="853"/>
      <c r="AC232" s="853"/>
      <c r="AD232" s="853"/>
      <c r="AE232" s="853"/>
      <c r="AF232" s="853"/>
      <c r="AG232" s="853"/>
      <c r="AH232" s="853"/>
      <c r="AI232" s="853"/>
      <c r="AJ232" s="853"/>
      <c r="AK232" s="853"/>
      <c r="AL232" s="1160"/>
      <c r="AM232" s="1160"/>
      <c r="AN232" s="1160"/>
      <c r="AO232" s="1160"/>
      <c r="AP232" s="1160"/>
      <c r="AQ232" s="1160"/>
      <c r="AR232" s="1160"/>
      <c r="AS232" s="1160"/>
      <c r="AT232" s="1160"/>
      <c r="AU232" s="1160"/>
      <c r="AV232" s="1160"/>
      <c r="AW232" s="1160"/>
      <c r="AX232" s="1160"/>
      <c r="AY232" s="1160"/>
      <c r="AZ232" s="1160"/>
      <c r="BA232" s="1160"/>
      <c r="BB232" s="1160"/>
      <c r="BC232" s="1160"/>
      <c r="BD232" s="1160"/>
      <c r="BE232" s="1160"/>
      <c r="BF232" s="1160"/>
      <c r="BG232" s="1160"/>
      <c r="BH232" s="1160"/>
    </row>
    <row r="233" spans="2:60" s="739" customFormat="1" x14ac:dyDescent="0.2">
      <c r="B233" s="1607"/>
      <c r="C233" s="1607"/>
      <c r="D233" s="1607"/>
      <c r="E233" s="1607"/>
      <c r="F233" s="1607"/>
      <c r="G233" s="1607"/>
      <c r="H233" s="1607"/>
      <c r="I233" s="1607"/>
      <c r="J233" s="1607"/>
      <c r="K233" s="1607"/>
      <c r="L233" s="1607"/>
      <c r="M233" s="1607"/>
      <c r="N233" s="1607"/>
      <c r="O233" s="1607"/>
      <c r="P233" s="1607"/>
      <c r="Q233" s="1607"/>
      <c r="R233" s="1607"/>
      <c r="S233" s="1607"/>
      <c r="T233" s="1607"/>
      <c r="U233" s="1607"/>
      <c r="V233" s="1186"/>
      <c r="W233" s="1186"/>
      <c r="X233" s="1186"/>
      <c r="AC233" s="1186"/>
      <c r="AD233" s="1186"/>
      <c r="AE233" s="1186"/>
      <c r="AF233" s="1186"/>
      <c r="AG233" s="1186"/>
      <c r="AH233" s="1186"/>
      <c r="AI233" s="1186"/>
      <c r="AJ233" s="1186"/>
      <c r="AK233" s="1186"/>
      <c r="AL233" s="1160"/>
      <c r="AM233" s="1160"/>
      <c r="AN233" s="1160"/>
      <c r="AO233" s="1160"/>
      <c r="AP233" s="1160"/>
      <c r="AQ233" s="1160"/>
      <c r="AR233" s="1160"/>
      <c r="AS233" s="1160"/>
      <c r="AT233" s="1160"/>
      <c r="AU233" s="1160"/>
      <c r="AV233" s="1160"/>
      <c r="AW233" s="1160"/>
      <c r="AX233" s="1160"/>
      <c r="AY233" s="1160"/>
      <c r="AZ233" s="1160"/>
      <c r="BA233" s="1160"/>
      <c r="BB233" s="1160"/>
      <c r="BC233" s="1160"/>
      <c r="BD233" s="1160"/>
      <c r="BE233" s="1160"/>
      <c r="BF233" s="1160"/>
      <c r="BG233" s="1160"/>
      <c r="BH233" s="1160"/>
    </row>
    <row r="234" spans="2:60" s="739" customFormat="1" x14ac:dyDescent="0.2">
      <c r="B234" s="1607"/>
      <c r="C234" s="1607"/>
      <c r="D234" s="1607"/>
      <c r="E234" s="1607"/>
      <c r="F234" s="1607"/>
      <c r="G234" s="1607"/>
      <c r="H234" s="1607"/>
      <c r="I234" s="1607"/>
      <c r="J234" s="1607"/>
      <c r="K234" s="1607"/>
      <c r="L234" s="1607"/>
      <c r="M234" s="1607"/>
      <c r="N234" s="1607"/>
      <c r="O234" s="1607"/>
      <c r="P234" s="1607"/>
      <c r="Q234" s="1607"/>
      <c r="R234" s="1607"/>
      <c r="S234" s="1607"/>
      <c r="T234" s="1607"/>
      <c r="U234" s="1607"/>
      <c r="V234" s="1186"/>
      <c r="W234" s="1186"/>
      <c r="X234" s="1186"/>
      <c r="AC234" s="1186"/>
      <c r="AD234" s="1186"/>
      <c r="AE234" s="1186"/>
      <c r="AF234" s="1186"/>
      <c r="AG234" s="1186"/>
      <c r="AH234" s="1186"/>
      <c r="AI234" s="1186"/>
      <c r="AJ234" s="1186"/>
      <c r="AK234" s="1186"/>
      <c r="AL234" s="1160"/>
      <c r="AM234" s="1160"/>
      <c r="AN234" s="1160"/>
      <c r="AO234" s="1160"/>
      <c r="AP234" s="1160"/>
      <c r="AQ234" s="1160"/>
      <c r="AR234" s="1160"/>
      <c r="AS234" s="1160"/>
      <c r="AT234" s="1160"/>
      <c r="AU234" s="1160"/>
      <c r="AV234" s="1160"/>
      <c r="AW234" s="1160"/>
      <c r="AX234" s="1160"/>
      <c r="AY234" s="1160"/>
      <c r="AZ234" s="1160"/>
      <c r="BA234" s="1160"/>
      <c r="BB234" s="1160"/>
      <c r="BC234" s="1160"/>
      <c r="BD234" s="1160"/>
      <c r="BE234" s="1160"/>
      <c r="BF234" s="1160"/>
      <c r="BG234" s="1160"/>
      <c r="BH234" s="1160"/>
    </row>
    <row r="235" spans="2:60" s="1605" customFormat="1" x14ac:dyDescent="0.2">
      <c r="B235" s="1607"/>
      <c r="C235" s="1607"/>
      <c r="D235" s="1607"/>
      <c r="E235" s="1607"/>
      <c r="F235" s="1607"/>
      <c r="G235" s="1607"/>
      <c r="H235" s="1607"/>
      <c r="I235" s="1607"/>
      <c r="J235" s="1607"/>
      <c r="K235" s="1607"/>
      <c r="L235" s="1607"/>
      <c r="M235" s="1607"/>
      <c r="N235" s="1607"/>
      <c r="O235" s="1607"/>
      <c r="P235" s="1607"/>
      <c r="Q235" s="1607"/>
      <c r="R235" s="1607"/>
      <c r="S235" s="1607"/>
      <c r="T235" s="1607"/>
      <c r="U235" s="1607"/>
      <c r="V235" s="1186"/>
      <c r="W235" s="1186"/>
      <c r="X235" s="1186"/>
      <c r="AC235" s="1186"/>
      <c r="AD235" s="1186"/>
      <c r="AE235" s="1186"/>
      <c r="AF235" s="1186"/>
      <c r="AG235" s="1186"/>
      <c r="AH235" s="1186"/>
      <c r="AI235" s="1186"/>
      <c r="AJ235" s="1186"/>
      <c r="AK235" s="1186"/>
      <c r="AL235" s="1160"/>
      <c r="AM235" s="1160"/>
      <c r="AN235" s="1160"/>
      <c r="AO235" s="1160"/>
      <c r="AP235" s="1160"/>
      <c r="AQ235" s="1160"/>
      <c r="AR235" s="1160"/>
      <c r="AS235" s="1160"/>
      <c r="AT235" s="1160"/>
      <c r="AU235" s="1160"/>
      <c r="AV235" s="1160"/>
      <c r="AW235" s="1160"/>
      <c r="AX235" s="1160"/>
      <c r="AY235" s="1160"/>
      <c r="AZ235" s="1160"/>
      <c r="BA235" s="1160"/>
      <c r="BB235" s="1160"/>
      <c r="BC235" s="1160"/>
      <c r="BD235" s="1160"/>
      <c r="BE235" s="1160"/>
      <c r="BF235" s="1160"/>
      <c r="BG235" s="1160"/>
      <c r="BH235" s="1160"/>
    </row>
    <row r="236" spans="2:60" s="739" customFormat="1" x14ac:dyDescent="0.2">
      <c r="B236" s="1607"/>
      <c r="C236" s="1607"/>
      <c r="D236" s="1607"/>
      <c r="E236" s="1607"/>
      <c r="F236" s="1607"/>
      <c r="G236" s="1607"/>
      <c r="H236" s="1607"/>
      <c r="I236" s="1607"/>
      <c r="J236" s="1607"/>
      <c r="K236" s="1607"/>
      <c r="L236" s="1607"/>
      <c r="M236" s="1607"/>
      <c r="N236" s="1607"/>
      <c r="O236" s="1607"/>
      <c r="P236" s="1607"/>
      <c r="Q236" s="1607"/>
      <c r="R236" s="1607"/>
      <c r="S236" s="1607"/>
      <c r="T236" s="1607"/>
      <c r="U236" s="1607"/>
      <c r="V236" s="853"/>
      <c r="W236" s="853"/>
      <c r="X236" s="853"/>
      <c r="AC236" s="853"/>
      <c r="AD236" s="853"/>
      <c r="AE236" s="853"/>
      <c r="AF236" s="853"/>
      <c r="AG236" s="853"/>
      <c r="AH236" s="853"/>
      <c r="AI236" s="853"/>
      <c r="AJ236" s="853"/>
      <c r="AK236" s="853"/>
      <c r="AL236" s="1160"/>
      <c r="AM236" s="1160"/>
      <c r="AN236" s="1160"/>
      <c r="AO236" s="1160"/>
      <c r="AP236" s="1160"/>
      <c r="AQ236" s="1160"/>
      <c r="AR236" s="1160"/>
      <c r="AS236" s="1160"/>
      <c r="AT236" s="1160"/>
      <c r="AU236" s="1160"/>
      <c r="AV236" s="1160"/>
      <c r="AW236" s="1160"/>
      <c r="AX236" s="1160"/>
      <c r="AY236" s="1160"/>
      <c r="AZ236" s="1160"/>
      <c r="BA236" s="1160"/>
      <c r="BB236" s="1160"/>
      <c r="BC236" s="1160"/>
      <c r="BD236" s="1160"/>
      <c r="BE236" s="1160"/>
      <c r="BF236" s="1160"/>
      <c r="BG236" s="1160"/>
      <c r="BH236" s="1160"/>
    </row>
    <row r="237" spans="2:60" s="739" customFormat="1" x14ac:dyDescent="0.2">
      <c r="B237" s="1607"/>
      <c r="C237" s="1607"/>
      <c r="D237" s="1607"/>
      <c r="E237" s="1607"/>
      <c r="F237" s="1607"/>
      <c r="G237" s="1607"/>
      <c r="H237" s="1607"/>
      <c r="I237" s="1607"/>
      <c r="J237" s="1607"/>
      <c r="K237" s="1607"/>
      <c r="L237" s="1607"/>
      <c r="M237" s="1607"/>
      <c r="N237" s="1607"/>
      <c r="O237" s="1607"/>
      <c r="P237" s="1607"/>
      <c r="Q237" s="1607"/>
      <c r="R237" s="1607"/>
      <c r="S237" s="1607"/>
      <c r="T237" s="1607"/>
      <c r="U237" s="1607"/>
      <c r="V237" s="853"/>
      <c r="W237" s="853"/>
      <c r="X237" s="853"/>
      <c r="AC237" s="853"/>
      <c r="AD237" s="853"/>
      <c r="AE237" s="853"/>
      <c r="AF237" s="853"/>
      <c r="AG237" s="853"/>
      <c r="AH237" s="853"/>
      <c r="AI237" s="853"/>
      <c r="AJ237" s="853"/>
      <c r="AK237" s="853"/>
      <c r="AL237" s="1160"/>
      <c r="AM237" s="1160"/>
      <c r="AN237" s="1160"/>
      <c r="AO237" s="1160"/>
      <c r="AP237" s="1160"/>
      <c r="AQ237" s="1160"/>
      <c r="AR237" s="1160"/>
      <c r="AS237" s="1160"/>
      <c r="AT237" s="1160"/>
      <c r="AU237" s="1160"/>
      <c r="AV237" s="1160"/>
      <c r="AW237" s="1160"/>
      <c r="AX237" s="1160"/>
      <c r="AY237" s="1160"/>
      <c r="AZ237" s="1160"/>
      <c r="BA237" s="1160"/>
      <c r="BB237" s="1160"/>
      <c r="BC237" s="1160"/>
      <c r="BD237" s="1160"/>
      <c r="BE237" s="1160"/>
      <c r="BF237" s="1160"/>
      <c r="BG237" s="1160"/>
      <c r="BH237" s="1160"/>
    </row>
    <row r="238" spans="2:60" s="739" customFormat="1" x14ac:dyDescent="0.2">
      <c r="B238" s="1607"/>
      <c r="C238" s="1607"/>
      <c r="D238" s="1607"/>
      <c r="E238" s="1607"/>
      <c r="F238" s="1607"/>
      <c r="G238" s="1607"/>
      <c r="H238" s="1607"/>
      <c r="I238" s="1607"/>
      <c r="J238" s="1607"/>
      <c r="K238" s="1607"/>
      <c r="L238" s="1607"/>
      <c r="M238" s="1607"/>
      <c r="N238" s="1607"/>
      <c r="O238" s="1607"/>
      <c r="P238" s="1607"/>
      <c r="Q238" s="1607"/>
      <c r="R238" s="1607"/>
      <c r="S238" s="1607"/>
      <c r="T238" s="1607"/>
      <c r="U238" s="1607"/>
      <c r="V238" s="853"/>
      <c r="W238" s="853"/>
      <c r="X238" s="853"/>
      <c r="AC238" s="853"/>
      <c r="AD238" s="853"/>
      <c r="AE238" s="853"/>
      <c r="AF238" s="853"/>
      <c r="AG238" s="853"/>
      <c r="AH238" s="853"/>
      <c r="AI238" s="853"/>
      <c r="AJ238" s="853"/>
      <c r="AK238" s="853"/>
      <c r="AL238" s="1160"/>
      <c r="AM238" s="1160"/>
      <c r="AN238" s="1160"/>
      <c r="AO238" s="1160"/>
      <c r="AP238" s="1160"/>
      <c r="AQ238" s="1160"/>
      <c r="AR238" s="1160"/>
      <c r="AS238" s="1160"/>
      <c r="AT238" s="1160"/>
      <c r="AU238" s="1160"/>
      <c r="AV238" s="1160"/>
      <c r="AW238" s="1160"/>
      <c r="AX238" s="1160"/>
      <c r="AY238" s="1160"/>
      <c r="AZ238" s="1160"/>
      <c r="BA238" s="1160"/>
      <c r="BB238" s="1160"/>
      <c r="BC238" s="1160"/>
      <c r="BD238" s="1160"/>
      <c r="BE238" s="1160"/>
      <c r="BF238" s="1160"/>
      <c r="BG238" s="1160"/>
      <c r="BH238" s="1160"/>
    </row>
    <row r="239" spans="2:60" s="739" customFormat="1" x14ac:dyDescent="0.2">
      <c r="B239" s="1607"/>
      <c r="C239" s="1607"/>
      <c r="D239" s="1607"/>
      <c r="E239" s="1607"/>
      <c r="F239" s="1607"/>
      <c r="G239" s="1607"/>
      <c r="H239" s="1607"/>
      <c r="I239" s="1607"/>
      <c r="J239" s="1607"/>
      <c r="K239" s="1607"/>
      <c r="L239" s="1607"/>
      <c r="M239" s="1607"/>
      <c r="N239" s="1607"/>
      <c r="O239" s="1607"/>
      <c r="P239" s="1607"/>
      <c r="Q239" s="1607"/>
      <c r="R239" s="1607"/>
      <c r="S239" s="1607"/>
      <c r="T239" s="1607"/>
      <c r="U239" s="1607"/>
      <c r="V239" s="853"/>
      <c r="W239" s="853"/>
      <c r="X239" s="853"/>
      <c r="AC239" s="853"/>
      <c r="AD239" s="853"/>
      <c r="AE239" s="853"/>
      <c r="AF239" s="853"/>
      <c r="AG239" s="853"/>
      <c r="AH239" s="853"/>
      <c r="AI239" s="853"/>
      <c r="AJ239" s="853"/>
      <c r="AK239" s="853"/>
      <c r="AL239" s="1160"/>
      <c r="AM239" s="1160"/>
      <c r="AN239" s="1160"/>
      <c r="AO239" s="1160"/>
      <c r="AP239" s="1160"/>
      <c r="AQ239" s="1160"/>
      <c r="AR239" s="1160"/>
      <c r="AS239" s="1160"/>
      <c r="AT239" s="1160"/>
      <c r="AU239" s="1160"/>
      <c r="AV239" s="1160"/>
      <c r="AW239" s="1160"/>
      <c r="AX239" s="1160"/>
      <c r="AY239" s="1160"/>
      <c r="AZ239" s="1160"/>
      <c r="BA239" s="1160"/>
      <c r="BB239" s="1160"/>
      <c r="BC239" s="1160"/>
      <c r="BD239" s="1160"/>
      <c r="BE239" s="1160"/>
      <c r="BF239" s="1160"/>
      <c r="BG239" s="1160"/>
      <c r="BH239" s="1160"/>
    </row>
    <row r="240" spans="2:60" s="739" customFormat="1" x14ac:dyDescent="0.2">
      <c r="B240" s="1607"/>
      <c r="C240" s="1607"/>
      <c r="D240" s="1607"/>
      <c r="E240" s="1607"/>
      <c r="F240" s="1607"/>
      <c r="G240" s="1607"/>
      <c r="H240" s="1607"/>
      <c r="I240" s="1607"/>
      <c r="J240" s="1607"/>
      <c r="K240" s="1607"/>
      <c r="L240" s="1607"/>
      <c r="M240" s="1607"/>
      <c r="N240" s="1607"/>
      <c r="O240" s="1607"/>
      <c r="P240" s="1607"/>
      <c r="Q240" s="1607"/>
      <c r="R240" s="1607"/>
      <c r="S240" s="1607"/>
      <c r="T240" s="1607"/>
      <c r="U240" s="1607"/>
      <c r="V240" s="853"/>
      <c r="W240" s="853"/>
      <c r="X240" s="853"/>
      <c r="AC240" s="853"/>
      <c r="AD240" s="853"/>
      <c r="AE240" s="853"/>
      <c r="AF240" s="853"/>
      <c r="AG240" s="853"/>
      <c r="AH240" s="853"/>
      <c r="AI240" s="853"/>
      <c r="AJ240" s="853"/>
      <c r="AK240" s="853"/>
      <c r="AL240" s="1160"/>
      <c r="AM240" s="1160"/>
      <c r="AN240" s="1160"/>
      <c r="AO240" s="1160"/>
      <c r="AP240" s="1160"/>
      <c r="AQ240" s="1160"/>
      <c r="AR240" s="1160"/>
      <c r="AS240" s="1160"/>
      <c r="AT240" s="1160"/>
      <c r="AU240" s="1160"/>
      <c r="AV240" s="1160"/>
      <c r="AW240" s="1160"/>
      <c r="AX240" s="1160"/>
      <c r="AY240" s="1160"/>
      <c r="AZ240" s="1160"/>
      <c r="BA240" s="1160"/>
      <c r="BB240" s="1160"/>
      <c r="BC240" s="1160"/>
      <c r="BD240" s="1160"/>
      <c r="BE240" s="1160"/>
      <c r="BF240" s="1160"/>
      <c r="BG240" s="1160"/>
      <c r="BH240" s="1160"/>
    </row>
    <row r="241" spans="2:60" s="739" customFormat="1" x14ac:dyDescent="0.2">
      <c r="B241" s="1607"/>
      <c r="C241" s="1607"/>
      <c r="D241" s="1607"/>
      <c r="E241" s="1607"/>
      <c r="F241" s="1607"/>
      <c r="G241" s="1607"/>
      <c r="H241" s="1607"/>
      <c r="I241" s="1607"/>
      <c r="J241" s="1607"/>
      <c r="K241" s="1607"/>
      <c r="L241" s="1607"/>
      <c r="M241" s="1607"/>
      <c r="N241" s="1607"/>
      <c r="O241" s="1607"/>
      <c r="P241" s="1607"/>
      <c r="Q241" s="1607"/>
      <c r="R241" s="1607"/>
      <c r="S241" s="1607"/>
      <c r="T241" s="1607"/>
      <c r="U241" s="1607"/>
      <c r="V241" s="853"/>
      <c r="W241" s="853"/>
      <c r="X241" s="853"/>
      <c r="AC241" s="853"/>
      <c r="AD241" s="853"/>
      <c r="AE241" s="853"/>
      <c r="AF241" s="853"/>
      <c r="AG241" s="853"/>
      <c r="AH241" s="853"/>
      <c r="AI241" s="853"/>
      <c r="AJ241" s="853"/>
      <c r="AK241" s="853"/>
      <c r="AL241" s="1160"/>
      <c r="AM241" s="1160"/>
      <c r="AN241" s="1160"/>
      <c r="AO241" s="1160"/>
      <c r="AP241" s="1160"/>
      <c r="AQ241" s="1160"/>
      <c r="AR241" s="1160"/>
      <c r="AS241" s="1160"/>
      <c r="AT241" s="1160"/>
      <c r="AU241" s="1160"/>
      <c r="AV241" s="1160"/>
      <c r="AW241" s="1160"/>
      <c r="AX241" s="1160"/>
      <c r="AY241" s="1160"/>
      <c r="AZ241" s="1160"/>
      <c r="BA241" s="1160"/>
      <c r="BB241" s="1160"/>
      <c r="BC241" s="1160"/>
      <c r="BD241" s="1160"/>
      <c r="BE241" s="1160"/>
      <c r="BF241" s="1160"/>
      <c r="BG241" s="1160"/>
      <c r="BH241" s="1160"/>
    </row>
    <row r="242" spans="2:60" s="739" customFormat="1" x14ac:dyDescent="0.2">
      <c r="B242" s="1607"/>
      <c r="C242" s="1607"/>
      <c r="D242" s="1607"/>
      <c r="E242" s="1607"/>
      <c r="F242" s="1607"/>
      <c r="G242" s="1607"/>
      <c r="H242" s="1607"/>
      <c r="I242" s="1607"/>
      <c r="J242" s="1607"/>
      <c r="K242" s="1607"/>
      <c r="L242" s="1607"/>
      <c r="M242" s="1607"/>
      <c r="N242" s="1607"/>
      <c r="O242" s="1607"/>
      <c r="P242" s="1607"/>
      <c r="Q242" s="1607"/>
      <c r="R242" s="1607"/>
      <c r="S242" s="1607"/>
      <c r="T242" s="1607"/>
      <c r="U242" s="1607"/>
      <c r="V242" s="853"/>
      <c r="W242" s="853"/>
      <c r="X242" s="853"/>
      <c r="AC242" s="853"/>
      <c r="AD242" s="853"/>
      <c r="AE242" s="853"/>
      <c r="AF242" s="853"/>
      <c r="AG242" s="853"/>
      <c r="AH242" s="853"/>
      <c r="AI242" s="853"/>
      <c r="AJ242" s="853"/>
      <c r="AK242" s="853"/>
      <c r="AL242" s="1160"/>
      <c r="AM242" s="1160"/>
      <c r="AN242" s="1160"/>
      <c r="AO242" s="1160"/>
      <c r="AP242" s="1160"/>
      <c r="AQ242" s="1160"/>
      <c r="AR242" s="1160"/>
      <c r="AS242" s="1160"/>
      <c r="AT242" s="1160"/>
      <c r="AU242" s="1160"/>
      <c r="AV242" s="1160"/>
      <c r="AW242" s="1160"/>
      <c r="AX242" s="1160"/>
      <c r="AY242" s="1160"/>
      <c r="AZ242" s="1160"/>
      <c r="BA242" s="1160"/>
      <c r="BB242" s="1160"/>
      <c r="BC242" s="1160"/>
      <c r="BD242" s="1160"/>
      <c r="BE242" s="1160"/>
      <c r="BF242" s="1160"/>
      <c r="BG242" s="1160"/>
      <c r="BH242" s="1160"/>
    </row>
    <row r="243" spans="2:60" s="739" customFormat="1" x14ac:dyDescent="0.2">
      <c r="B243" s="1607"/>
      <c r="C243" s="1607"/>
      <c r="D243" s="1607"/>
      <c r="E243" s="1607"/>
      <c r="F243" s="1607"/>
      <c r="G243" s="1607"/>
      <c r="H243" s="1607"/>
      <c r="I243" s="1607"/>
      <c r="J243" s="1607"/>
      <c r="K243" s="1607"/>
      <c r="L243" s="1607"/>
      <c r="M243" s="1607"/>
      <c r="N243" s="1607"/>
      <c r="O243" s="1607"/>
      <c r="P243" s="1607"/>
      <c r="Q243" s="1607"/>
      <c r="R243" s="1607"/>
      <c r="S243" s="1607"/>
      <c r="T243" s="1607"/>
      <c r="U243" s="1607"/>
      <c r="V243" s="853"/>
      <c r="W243" s="853"/>
      <c r="X243" s="853"/>
      <c r="AC243" s="853"/>
      <c r="AD243" s="853"/>
      <c r="AE243" s="853"/>
      <c r="AF243" s="853"/>
      <c r="AG243" s="853"/>
      <c r="AH243" s="853"/>
      <c r="AI243" s="853"/>
      <c r="AJ243" s="853"/>
      <c r="AK243" s="853"/>
      <c r="AL243" s="1160"/>
      <c r="AM243" s="1160"/>
      <c r="AN243" s="1160"/>
      <c r="AO243" s="1160"/>
      <c r="AP243" s="1160"/>
      <c r="AQ243" s="1160"/>
      <c r="AR243" s="1160"/>
      <c r="AS243" s="1160"/>
      <c r="AT243" s="1160"/>
      <c r="AU243" s="1160"/>
      <c r="AV243" s="1160"/>
      <c r="AW243" s="1160"/>
      <c r="AX243" s="1160"/>
      <c r="AY243" s="1160"/>
      <c r="AZ243" s="1160"/>
      <c r="BA243" s="1160"/>
      <c r="BB243" s="1160"/>
      <c r="BC243" s="1160"/>
      <c r="BD243" s="1160"/>
      <c r="BE243" s="1160"/>
      <c r="BF243" s="1160"/>
      <c r="BG243" s="1160"/>
      <c r="BH243" s="1160"/>
    </row>
    <row r="244" spans="2:60" s="739" customFormat="1" x14ac:dyDescent="0.2">
      <c r="B244" s="1607"/>
      <c r="C244" s="1607"/>
      <c r="D244" s="1607"/>
      <c r="E244" s="1607"/>
      <c r="F244" s="1607"/>
      <c r="G244" s="1607"/>
      <c r="H244" s="1607"/>
      <c r="I244" s="1607"/>
      <c r="J244" s="1607"/>
      <c r="K244" s="1607"/>
      <c r="L244" s="1607"/>
      <c r="M244" s="1607"/>
      <c r="N244" s="1607"/>
      <c r="O244" s="1607"/>
      <c r="P244" s="1607"/>
      <c r="Q244" s="1607"/>
      <c r="R244" s="1607"/>
      <c r="S244" s="1607"/>
      <c r="T244" s="1607"/>
      <c r="U244" s="1607"/>
      <c r="V244" s="853"/>
      <c r="W244" s="853"/>
      <c r="X244" s="853"/>
      <c r="AC244" s="853"/>
      <c r="AD244" s="853"/>
      <c r="AE244" s="853"/>
      <c r="AF244" s="853"/>
      <c r="AG244" s="853"/>
      <c r="AH244" s="853"/>
      <c r="AI244" s="853"/>
      <c r="AJ244" s="853"/>
      <c r="AK244" s="853"/>
      <c r="AL244" s="1160"/>
      <c r="AM244" s="1160"/>
      <c r="AN244" s="1160"/>
      <c r="AO244" s="1160"/>
      <c r="AP244" s="1160"/>
      <c r="AQ244" s="1160"/>
      <c r="AR244" s="1160"/>
      <c r="AS244" s="1160"/>
      <c r="AT244" s="1160"/>
      <c r="AU244" s="1160"/>
      <c r="AV244" s="1160"/>
      <c r="AW244" s="1160"/>
      <c r="AX244" s="1160"/>
      <c r="AY244" s="1160"/>
      <c r="AZ244" s="1160"/>
      <c r="BA244" s="1160"/>
      <c r="BB244" s="1160"/>
      <c r="BC244" s="1160"/>
      <c r="BD244" s="1160"/>
      <c r="BE244" s="1160"/>
      <c r="BF244" s="1160"/>
      <c r="BG244" s="1160"/>
      <c r="BH244" s="1160"/>
    </row>
    <row r="245" spans="2:60" s="739" customFormat="1" x14ac:dyDescent="0.2">
      <c r="B245" s="1607"/>
      <c r="C245" s="1607"/>
      <c r="D245" s="1607"/>
      <c r="E245" s="1607"/>
      <c r="F245" s="1607"/>
      <c r="G245" s="1607"/>
      <c r="H245" s="1607"/>
      <c r="I245" s="1607"/>
      <c r="J245" s="1607"/>
      <c r="K245" s="1607"/>
      <c r="L245" s="1607"/>
      <c r="M245" s="1607"/>
      <c r="N245" s="1607"/>
      <c r="O245" s="1607"/>
      <c r="P245" s="1607"/>
      <c r="Q245" s="1607"/>
      <c r="R245" s="1607"/>
      <c r="S245" s="1607"/>
      <c r="T245" s="1607"/>
      <c r="U245" s="1607"/>
      <c r="V245" s="853"/>
      <c r="W245" s="853"/>
      <c r="X245" s="853"/>
      <c r="AC245" s="853"/>
      <c r="AD245" s="853"/>
      <c r="AE245" s="853"/>
      <c r="AF245" s="853"/>
      <c r="AG245" s="853"/>
      <c r="AH245" s="853"/>
      <c r="AI245" s="853"/>
      <c r="AJ245" s="853"/>
      <c r="AK245" s="853"/>
      <c r="AL245" s="1160"/>
      <c r="AM245" s="1160"/>
      <c r="AN245" s="1160"/>
      <c r="AO245" s="1160"/>
      <c r="AP245" s="1160"/>
      <c r="AQ245" s="1160"/>
      <c r="AR245" s="1160"/>
      <c r="AS245" s="1160"/>
      <c r="AT245" s="1160"/>
      <c r="AU245" s="1160"/>
      <c r="AV245" s="1160"/>
      <c r="AW245" s="1160"/>
      <c r="AX245" s="1160"/>
      <c r="AY245" s="1160"/>
      <c r="AZ245" s="1160"/>
      <c r="BA245" s="1160"/>
      <c r="BB245" s="1160"/>
      <c r="BC245" s="1160"/>
      <c r="BD245" s="1160"/>
      <c r="BE245" s="1160"/>
      <c r="BF245" s="1160"/>
      <c r="BG245" s="1160"/>
      <c r="BH245" s="1160"/>
    </row>
    <row r="246" spans="2:60" s="739" customFormat="1" x14ac:dyDescent="0.2">
      <c r="B246" s="1607"/>
      <c r="C246" s="1607"/>
      <c r="D246" s="1607"/>
      <c r="E246" s="1607"/>
      <c r="F246" s="1607"/>
      <c r="G246" s="1607"/>
      <c r="H246" s="1607"/>
      <c r="I246" s="1607"/>
      <c r="J246" s="1607"/>
      <c r="K246" s="1607"/>
      <c r="L246" s="1607"/>
      <c r="M246" s="1607"/>
      <c r="N246" s="1607"/>
      <c r="O246" s="1607"/>
      <c r="P246" s="1607"/>
      <c r="Q246" s="1607"/>
      <c r="R246" s="1607"/>
      <c r="S246" s="1607"/>
      <c r="T246" s="1607"/>
      <c r="U246" s="1607"/>
      <c r="V246" s="853"/>
      <c r="W246" s="853"/>
      <c r="X246" s="853"/>
      <c r="AC246" s="853"/>
      <c r="AD246" s="853"/>
      <c r="AE246" s="853"/>
      <c r="AF246" s="853"/>
      <c r="AG246" s="853"/>
      <c r="AH246" s="853"/>
      <c r="AI246" s="853"/>
      <c r="AJ246" s="853"/>
      <c r="AK246" s="853"/>
      <c r="AL246" s="1160"/>
      <c r="AM246" s="1160"/>
      <c r="AN246" s="1160"/>
      <c r="AO246" s="1160"/>
      <c r="AP246" s="1160"/>
      <c r="AQ246" s="1160"/>
      <c r="AR246" s="1160"/>
      <c r="AS246" s="1160"/>
      <c r="AT246" s="1160"/>
      <c r="AU246" s="1160"/>
      <c r="AV246" s="1160"/>
      <c r="AW246" s="1160"/>
      <c r="AX246" s="1160"/>
      <c r="AY246" s="1160"/>
      <c r="AZ246" s="1160"/>
      <c r="BA246" s="1160"/>
      <c r="BB246" s="1160"/>
      <c r="BC246" s="1160"/>
      <c r="BD246" s="1160"/>
      <c r="BE246" s="1160"/>
      <c r="BF246" s="1160"/>
      <c r="BG246" s="1160"/>
      <c r="BH246" s="1160"/>
    </row>
    <row r="247" spans="2:60" s="739" customFormat="1" x14ac:dyDescent="0.2">
      <c r="B247" s="1607"/>
      <c r="C247" s="1607"/>
      <c r="D247" s="1607"/>
      <c r="E247" s="1607"/>
      <c r="F247" s="1607"/>
      <c r="G247" s="1607"/>
      <c r="H247" s="1607"/>
      <c r="I247" s="1607"/>
      <c r="J247" s="1607"/>
      <c r="K247" s="1607"/>
      <c r="L247" s="1607"/>
      <c r="M247" s="1607"/>
      <c r="N247" s="1607"/>
      <c r="O247" s="1607"/>
      <c r="P247" s="1607"/>
      <c r="Q247" s="1607"/>
      <c r="R247" s="1607"/>
      <c r="S247" s="1607"/>
      <c r="T247" s="1607"/>
      <c r="U247" s="1607"/>
      <c r="V247" s="853"/>
      <c r="W247" s="853"/>
      <c r="X247" s="853"/>
      <c r="AC247" s="853"/>
      <c r="AD247" s="853"/>
      <c r="AE247" s="853"/>
      <c r="AF247" s="853"/>
      <c r="AG247" s="853"/>
      <c r="AH247" s="853"/>
      <c r="AI247" s="853"/>
      <c r="AJ247" s="853"/>
      <c r="AK247" s="853"/>
      <c r="AL247" s="1160"/>
      <c r="AM247" s="1160"/>
      <c r="AN247" s="1160"/>
      <c r="AO247" s="1160"/>
      <c r="AP247" s="1160"/>
      <c r="AQ247" s="1160"/>
      <c r="AR247" s="1160"/>
      <c r="AS247" s="1160"/>
      <c r="AT247" s="1160"/>
      <c r="AU247" s="1160"/>
      <c r="AV247" s="1160"/>
      <c r="AW247" s="1160"/>
      <c r="AX247" s="1160"/>
      <c r="AY247" s="1160"/>
      <c r="AZ247" s="1160"/>
      <c r="BA247" s="1160"/>
      <c r="BB247" s="1160"/>
      <c r="BC247" s="1160"/>
      <c r="BD247" s="1160"/>
      <c r="BE247" s="1160"/>
      <c r="BF247" s="1160"/>
      <c r="BG247" s="1160"/>
      <c r="BH247" s="1160"/>
    </row>
    <row r="248" spans="2:60" s="739" customFormat="1" x14ac:dyDescent="0.2">
      <c r="B248" s="1607"/>
      <c r="C248" s="1607"/>
      <c r="D248" s="1607"/>
      <c r="E248" s="1607"/>
      <c r="F248" s="1607"/>
      <c r="G248" s="1607"/>
      <c r="H248" s="1607"/>
      <c r="I248" s="1607"/>
      <c r="J248" s="1607"/>
      <c r="K248" s="1607"/>
      <c r="L248" s="1607"/>
      <c r="M248" s="1607"/>
      <c r="N248" s="1607"/>
      <c r="O248" s="1607"/>
      <c r="P248" s="1607"/>
      <c r="Q248" s="1607"/>
      <c r="R248" s="1607"/>
      <c r="S248" s="1607"/>
      <c r="T248" s="1607"/>
      <c r="U248" s="1607"/>
      <c r="V248" s="853"/>
      <c r="W248" s="853"/>
      <c r="X248" s="853"/>
      <c r="AC248" s="853"/>
      <c r="AD248" s="853"/>
      <c r="AE248" s="853"/>
      <c r="AF248" s="853"/>
      <c r="AG248" s="853"/>
      <c r="AH248" s="853"/>
      <c r="AI248" s="853"/>
      <c r="AJ248" s="853"/>
      <c r="AK248" s="853"/>
      <c r="AL248" s="1160"/>
      <c r="AM248" s="1160"/>
      <c r="AN248" s="1160"/>
      <c r="AO248" s="1160"/>
      <c r="AP248" s="1160"/>
      <c r="AQ248" s="1160"/>
      <c r="AR248" s="1160"/>
      <c r="AS248" s="1160"/>
      <c r="AT248" s="1160"/>
      <c r="AU248" s="1160"/>
      <c r="AV248" s="1160"/>
      <c r="AW248" s="1160"/>
      <c r="AX248" s="1160"/>
      <c r="AY248" s="1160"/>
      <c r="AZ248" s="1160"/>
      <c r="BA248" s="1160"/>
      <c r="BB248" s="1160"/>
      <c r="BC248" s="1160"/>
      <c r="BD248" s="1160"/>
      <c r="BE248" s="1160"/>
      <c r="BF248" s="1160"/>
      <c r="BG248" s="1160"/>
      <c r="BH248" s="1160"/>
    </row>
    <row r="249" spans="2:60" s="739" customFormat="1" x14ac:dyDescent="0.2">
      <c r="B249" s="1607"/>
      <c r="C249" s="1607"/>
      <c r="D249" s="1607"/>
      <c r="E249" s="1607"/>
      <c r="F249" s="1607"/>
      <c r="G249" s="1607"/>
      <c r="H249" s="1607"/>
      <c r="I249" s="1607"/>
      <c r="J249" s="1607"/>
      <c r="K249" s="1607"/>
      <c r="L249" s="1607"/>
      <c r="M249" s="1607"/>
      <c r="N249" s="1607"/>
      <c r="O249" s="1607"/>
      <c r="P249" s="1607"/>
      <c r="Q249" s="1607"/>
      <c r="R249" s="1607"/>
      <c r="S249" s="1607"/>
      <c r="T249" s="1607"/>
      <c r="U249" s="1607"/>
      <c r="V249" s="853"/>
      <c r="W249" s="853"/>
      <c r="X249" s="853"/>
      <c r="AC249" s="853"/>
      <c r="AD249" s="853"/>
      <c r="AE249" s="853"/>
      <c r="AF249" s="853"/>
      <c r="AG249" s="853"/>
      <c r="AH249" s="853"/>
      <c r="AI249" s="853"/>
      <c r="AJ249" s="853"/>
      <c r="AK249" s="853"/>
      <c r="AL249" s="1160"/>
      <c r="AM249" s="1160"/>
      <c r="AN249" s="1160"/>
      <c r="AO249" s="1160"/>
      <c r="AP249" s="1160"/>
      <c r="AQ249" s="1160"/>
      <c r="AR249" s="1160"/>
      <c r="AS249" s="1160"/>
      <c r="AT249" s="1160"/>
      <c r="AU249" s="1160"/>
      <c r="AV249" s="1160"/>
      <c r="AW249" s="1160"/>
      <c r="AX249" s="1160"/>
      <c r="AY249" s="1160"/>
      <c r="AZ249" s="1160"/>
      <c r="BA249" s="1160"/>
      <c r="BB249" s="1160"/>
      <c r="BC249" s="1160"/>
      <c r="BD249" s="1160"/>
      <c r="BE249" s="1160"/>
      <c r="BF249" s="1160"/>
      <c r="BG249" s="1160"/>
      <c r="BH249" s="1160"/>
    </row>
    <row r="250" spans="2:60" s="739" customFormat="1" x14ac:dyDescent="0.2">
      <c r="B250" s="1607"/>
      <c r="C250" s="1607"/>
      <c r="D250" s="1607"/>
      <c r="E250" s="1607"/>
      <c r="F250" s="1607"/>
      <c r="G250" s="1607"/>
      <c r="H250" s="1607"/>
      <c r="I250" s="1607"/>
      <c r="J250" s="1607"/>
      <c r="K250" s="1607"/>
      <c r="L250" s="1607"/>
      <c r="M250" s="1607"/>
      <c r="N250" s="1607"/>
      <c r="O250" s="1607"/>
      <c r="P250" s="1607"/>
      <c r="Q250" s="1607"/>
      <c r="R250" s="1607"/>
      <c r="S250" s="1607"/>
      <c r="T250" s="1607"/>
      <c r="U250" s="1607"/>
      <c r="V250" s="853"/>
      <c r="W250" s="853"/>
      <c r="X250" s="853"/>
      <c r="AC250" s="853"/>
      <c r="AD250" s="853"/>
      <c r="AE250" s="853"/>
      <c r="AF250" s="853"/>
      <c r="AG250" s="853"/>
      <c r="AH250" s="853"/>
      <c r="AI250" s="853"/>
      <c r="AJ250" s="853"/>
      <c r="AK250" s="853"/>
      <c r="AL250" s="1160"/>
      <c r="AM250" s="1160"/>
      <c r="AN250" s="1160"/>
      <c r="AO250" s="1160"/>
      <c r="AP250" s="1160"/>
      <c r="AQ250" s="1160"/>
      <c r="AR250" s="1160"/>
      <c r="AS250" s="1160"/>
      <c r="AT250" s="1160"/>
      <c r="AU250" s="1160"/>
      <c r="AV250" s="1160"/>
      <c r="AW250" s="1160"/>
      <c r="AX250" s="1160"/>
      <c r="AY250" s="1160"/>
      <c r="AZ250" s="1160"/>
      <c r="BA250" s="1160"/>
      <c r="BB250" s="1160"/>
      <c r="BC250" s="1160"/>
      <c r="BD250" s="1160"/>
      <c r="BE250" s="1160"/>
      <c r="BF250" s="1160"/>
      <c r="BG250" s="1160"/>
      <c r="BH250" s="1160"/>
    </row>
    <row r="251" spans="2:60" s="739" customFormat="1" x14ac:dyDescent="0.2">
      <c r="B251" s="1607"/>
      <c r="C251" s="1607"/>
      <c r="D251" s="1607"/>
      <c r="E251" s="1607"/>
      <c r="F251" s="1607"/>
      <c r="G251" s="1607"/>
      <c r="H251" s="1607"/>
      <c r="I251" s="1607"/>
      <c r="J251" s="1607"/>
      <c r="K251" s="1607"/>
      <c r="L251" s="1607"/>
      <c r="M251" s="1607"/>
      <c r="N251" s="1607"/>
      <c r="O251" s="1607"/>
      <c r="P251" s="1607"/>
      <c r="Q251" s="1607"/>
      <c r="R251" s="1607"/>
      <c r="S251" s="1607"/>
      <c r="T251" s="1607"/>
      <c r="U251" s="1607"/>
      <c r="V251" s="853"/>
      <c r="W251" s="853"/>
      <c r="X251" s="853"/>
      <c r="AC251" s="853"/>
      <c r="AD251" s="853"/>
      <c r="AE251" s="853"/>
      <c r="AF251" s="853"/>
      <c r="AG251" s="853"/>
      <c r="AH251" s="853"/>
      <c r="AI251" s="853"/>
      <c r="AJ251" s="853"/>
      <c r="AK251" s="853"/>
      <c r="AL251" s="1160"/>
      <c r="AM251" s="1160"/>
      <c r="AN251" s="1160"/>
      <c r="AO251" s="1160"/>
      <c r="AP251" s="1160"/>
      <c r="AQ251" s="1160"/>
      <c r="AR251" s="1160"/>
      <c r="AS251" s="1160"/>
      <c r="AT251" s="1160"/>
      <c r="AU251" s="1160"/>
      <c r="AV251" s="1160"/>
      <c r="AW251" s="1160"/>
      <c r="AX251" s="1160"/>
      <c r="AY251" s="1160"/>
      <c r="AZ251" s="1160"/>
      <c r="BA251" s="1160"/>
      <c r="BB251" s="1160"/>
      <c r="BC251" s="1160"/>
      <c r="BD251" s="1160"/>
      <c r="BE251" s="1160"/>
      <c r="BF251" s="1160"/>
      <c r="BG251" s="1160"/>
      <c r="BH251" s="1160"/>
    </row>
    <row r="252" spans="2:60" s="739" customFormat="1" x14ac:dyDescent="0.2">
      <c r="B252" s="1607"/>
      <c r="C252" s="1607"/>
      <c r="D252" s="1607"/>
      <c r="E252" s="1607"/>
      <c r="F252" s="1607"/>
      <c r="G252" s="1607"/>
      <c r="H252" s="1607"/>
      <c r="I252" s="1607"/>
      <c r="J252" s="1607"/>
      <c r="K252" s="1607"/>
      <c r="L252" s="1607"/>
      <c r="M252" s="1607"/>
      <c r="N252" s="1607"/>
      <c r="O252" s="1607"/>
      <c r="P252" s="1607"/>
      <c r="Q252" s="1607"/>
      <c r="R252" s="1607"/>
      <c r="S252" s="1607"/>
      <c r="T252" s="1607"/>
      <c r="U252" s="1607"/>
      <c r="V252" s="853"/>
      <c r="W252" s="853"/>
      <c r="X252" s="853"/>
      <c r="AC252" s="853"/>
      <c r="AD252" s="853"/>
      <c r="AE252" s="853"/>
      <c r="AF252" s="853"/>
      <c r="AG252" s="853"/>
      <c r="AH252" s="853"/>
      <c r="AI252" s="853"/>
      <c r="AJ252" s="853"/>
      <c r="AK252" s="853"/>
      <c r="AL252" s="1160"/>
      <c r="AM252" s="1160"/>
      <c r="AN252" s="1160"/>
      <c r="AO252" s="1160"/>
      <c r="AP252" s="1160"/>
      <c r="AQ252" s="1160"/>
      <c r="AR252" s="1160"/>
      <c r="AS252" s="1160"/>
      <c r="AT252" s="1160"/>
      <c r="AU252" s="1160"/>
      <c r="AV252" s="1160"/>
      <c r="AW252" s="1160"/>
      <c r="AX252" s="1160"/>
      <c r="AY252" s="1160"/>
      <c r="AZ252" s="1160"/>
      <c r="BA252" s="1160"/>
      <c r="BB252" s="1160"/>
      <c r="BC252" s="1160"/>
      <c r="BD252" s="1160"/>
      <c r="BE252" s="1160"/>
      <c r="BF252" s="1160"/>
      <c r="BG252" s="1160"/>
      <c r="BH252" s="1160"/>
    </row>
    <row r="253" spans="2:60" s="739" customFormat="1" x14ac:dyDescent="0.2">
      <c r="B253" s="1607"/>
      <c r="C253" s="1607"/>
      <c r="D253" s="1607"/>
      <c r="E253" s="1607"/>
      <c r="F253" s="1607"/>
      <c r="G253" s="1607"/>
      <c r="H253" s="1607"/>
      <c r="I253" s="1607"/>
      <c r="J253" s="1607"/>
      <c r="K253" s="1607"/>
      <c r="L253" s="1607"/>
      <c r="M253" s="1607"/>
      <c r="N253" s="1607"/>
      <c r="O253" s="1607"/>
      <c r="P253" s="1607"/>
      <c r="Q253" s="1607"/>
      <c r="R253" s="1607"/>
      <c r="S253" s="1607"/>
      <c r="T253" s="1607"/>
      <c r="U253" s="1607"/>
      <c r="V253" s="853"/>
      <c r="W253" s="853"/>
      <c r="X253" s="853"/>
      <c r="AC253" s="853"/>
      <c r="AD253" s="853"/>
      <c r="AE253" s="853"/>
      <c r="AF253" s="853"/>
      <c r="AG253" s="853"/>
      <c r="AH253" s="853"/>
      <c r="AI253" s="853"/>
      <c r="AJ253" s="853"/>
      <c r="AK253" s="853"/>
      <c r="AL253" s="1160"/>
      <c r="AM253" s="1160"/>
      <c r="AN253" s="1160"/>
      <c r="AO253" s="1160"/>
      <c r="AP253" s="1160"/>
      <c r="AQ253" s="1160"/>
      <c r="AR253" s="1160"/>
      <c r="AS253" s="1160"/>
      <c r="AT253" s="1160"/>
      <c r="AU253" s="1160"/>
      <c r="AV253" s="1160"/>
      <c r="AW253" s="1160"/>
      <c r="AX253" s="1160"/>
      <c r="AY253" s="1160"/>
      <c r="AZ253" s="1160"/>
      <c r="BA253" s="1160"/>
      <c r="BB253" s="1160"/>
      <c r="BC253" s="1160"/>
      <c r="BD253" s="1160"/>
      <c r="BE253" s="1160"/>
      <c r="BF253" s="1160"/>
      <c r="BG253" s="1160"/>
      <c r="BH253" s="1160"/>
    </row>
    <row r="254" spans="2:60" s="739" customFormat="1" x14ac:dyDescent="0.2">
      <c r="B254" s="1607"/>
      <c r="C254" s="1607"/>
      <c r="D254" s="1607"/>
      <c r="E254" s="1607"/>
      <c r="F254" s="1607"/>
      <c r="G254" s="1607"/>
      <c r="H254" s="1607"/>
      <c r="I254" s="1607"/>
      <c r="J254" s="1607"/>
      <c r="K254" s="1607"/>
      <c r="L254" s="1607"/>
      <c r="M254" s="1607"/>
      <c r="N254" s="1607"/>
      <c r="O254" s="1607"/>
      <c r="P254" s="1607"/>
      <c r="Q254" s="1607"/>
      <c r="R254" s="1607"/>
      <c r="S254" s="1607"/>
      <c r="T254" s="1607"/>
      <c r="U254" s="1607"/>
      <c r="V254" s="853"/>
      <c r="W254" s="853"/>
      <c r="X254" s="853"/>
      <c r="AC254" s="853"/>
      <c r="AD254" s="853"/>
      <c r="AE254" s="853"/>
      <c r="AF254" s="853"/>
      <c r="AG254" s="853"/>
      <c r="AH254" s="853"/>
      <c r="AI254" s="853"/>
      <c r="AJ254" s="853"/>
      <c r="AK254" s="853"/>
      <c r="AL254" s="1160"/>
      <c r="AM254" s="1160"/>
      <c r="AN254" s="1160"/>
      <c r="AO254" s="1160"/>
      <c r="AP254" s="1160"/>
      <c r="AQ254" s="1160"/>
      <c r="AR254" s="1160"/>
      <c r="AS254" s="1160"/>
      <c r="AT254" s="1160"/>
      <c r="AU254" s="1160"/>
      <c r="AV254" s="1160"/>
      <c r="AW254" s="1160"/>
      <c r="AX254" s="1160"/>
      <c r="AY254" s="1160"/>
      <c r="AZ254" s="1160"/>
      <c r="BA254" s="1160"/>
      <c r="BB254" s="1160"/>
      <c r="BC254" s="1160"/>
      <c r="BD254" s="1160"/>
      <c r="BE254" s="1160"/>
      <c r="BF254" s="1160"/>
      <c r="BG254" s="1160"/>
      <c r="BH254" s="1160"/>
    </row>
    <row r="255" spans="2:60" s="739" customFormat="1" x14ac:dyDescent="0.2">
      <c r="B255" s="1607"/>
      <c r="C255" s="1607"/>
      <c r="D255" s="1607"/>
      <c r="E255" s="1607"/>
      <c r="F255" s="1607"/>
      <c r="G255" s="1607"/>
      <c r="H255" s="1607"/>
      <c r="I255" s="1607"/>
      <c r="J255" s="1607"/>
      <c r="K255" s="1607"/>
      <c r="L255" s="1607"/>
      <c r="M255" s="1607"/>
      <c r="N255" s="1607"/>
      <c r="O255" s="1607"/>
      <c r="P255" s="1607"/>
      <c r="Q255" s="1607"/>
      <c r="R255" s="1607"/>
      <c r="S255" s="1607"/>
      <c r="T255" s="1607"/>
      <c r="U255" s="1607"/>
      <c r="V255" s="853"/>
      <c r="W255" s="853"/>
      <c r="X255" s="853"/>
      <c r="AC255" s="853"/>
      <c r="AD255" s="853"/>
      <c r="AE255" s="853"/>
      <c r="AF255" s="853"/>
      <c r="AG255" s="853"/>
      <c r="AH255" s="853"/>
      <c r="AI255" s="853"/>
      <c r="AJ255" s="853"/>
      <c r="AK255" s="853"/>
      <c r="AL255" s="1160"/>
      <c r="AM255" s="1160"/>
      <c r="AN255" s="1160"/>
      <c r="AO255" s="1160"/>
      <c r="AP255" s="1160"/>
      <c r="AQ255" s="1160"/>
      <c r="AR255" s="1160"/>
      <c r="AS255" s="1160"/>
      <c r="AT255" s="1160"/>
      <c r="AU255" s="1160"/>
      <c r="AV255" s="1160"/>
      <c r="AW255" s="1160"/>
      <c r="AX255" s="1160"/>
      <c r="AY255" s="1160"/>
      <c r="AZ255" s="1160"/>
      <c r="BA255" s="1160"/>
      <c r="BB255" s="1160"/>
      <c r="BC255" s="1160"/>
      <c r="BD255" s="1160"/>
      <c r="BE255" s="1160"/>
      <c r="BF255" s="1160"/>
      <c r="BG255" s="1160"/>
      <c r="BH255" s="1160"/>
    </row>
    <row r="256" spans="2:60" s="739" customFormat="1" x14ac:dyDescent="0.2">
      <c r="B256" s="1607"/>
      <c r="C256" s="1607"/>
      <c r="D256" s="1607"/>
      <c r="E256" s="1607"/>
      <c r="F256" s="1607"/>
      <c r="G256" s="1607"/>
      <c r="H256" s="1607"/>
      <c r="I256" s="1607"/>
      <c r="J256" s="1607"/>
      <c r="K256" s="1607"/>
      <c r="L256" s="1607"/>
      <c r="M256" s="1607"/>
      <c r="N256" s="1607"/>
      <c r="O256" s="1607"/>
      <c r="P256" s="1607"/>
      <c r="Q256" s="1607"/>
      <c r="R256" s="1607"/>
      <c r="S256" s="1607"/>
      <c r="T256" s="1607"/>
      <c r="U256" s="1607"/>
      <c r="V256" s="853"/>
      <c r="W256" s="853"/>
      <c r="X256" s="853"/>
      <c r="AC256" s="853"/>
      <c r="AD256" s="853"/>
      <c r="AE256" s="853"/>
      <c r="AF256" s="853"/>
      <c r="AG256" s="853"/>
      <c r="AH256" s="853"/>
      <c r="AI256" s="853"/>
      <c r="AJ256" s="853"/>
      <c r="AK256" s="853"/>
      <c r="AL256" s="1160"/>
      <c r="AM256" s="1160"/>
      <c r="AN256" s="1160"/>
      <c r="AO256" s="1160"/>
      <c r="AP256" s="1160"/>
      <c r="AQ256" s="1160"/>
      <c r="AR256" s="1160"/>
      <c r="AS256" s="1160"/>
      <c r="AT256" s="1160"/>
      <c r="AU256" s="1160"/>
      <c r="AV256" s="1160"/>
      <c r="AW256" s="1160"/>
      <c r="AX256" s="1160"/>
      <c r="AY256" s="1160"/>
      <c r="AZ256" s="1160"/>
      <c r="BA256" s="1160"/>
      <c r="BB256" s="1160"/>
      <c r="BC256" s="1160"/>
      <c r="BD256" s="1160"/>
      <c r="BE256" s="1160"/>
      <c r="BF256" s="1160"/>
      <c r="BG256" s="1160"/>
      <c r="BH256" s="1160"/>
    </row>
    <row r="257" spans="2:60" s="739" customFormat="1" x14ac:dyDescent="0.2">
      <c r="B257" s="1607"/>
      <c r="C257" s="1607"/>
      <c r="D257" s="1607"/>
      <c r="E257" s="1607"/>
      <c r="F257" s="1607"/>
      <c r="G257" s="1607"/>
      <c r="H257" s="1607"/>
      <c r="I257" s="1607"/>
      <c r="J257" s="1607"/>
      <c r="K257" s="1607"/>
      <c r="L257" s="1607"/>
      <c r="M257" s="1607"/>
      <c r="N257" s="1607"/>
      <c r="O257" s="1607"/>
      <c r="P257" s="1607"/>
      <c r="Q257" s="1607"/>
      <c r="R257" s="1607"/>
      <c r="S257" s="1607"/>
      <c r="T257" s="1607"/>
      <c r="U257" s="1607"/>
      <c r="V257" s="853"/>
      <c r="W257" s="853"/>
      <c r="X257" s="853"/>
      <c r="AC257" s="853"/>
      <c r="AD257" s="853"/>
      <c r="AE257" s="853"/>
      <c r="AF257" s="853"/>
      <c r="AG257" s="853"/>
      <c r="AH257" s="853"/>
      <c r="AI257" s="853"/>
      <c r="AJ257" s="853"/>
      <c r="AK257" s="853"/>
      <c r="AL257" s="1160"/>
      <c r="AM257" s="1160"/>
      <c r="AN257" s="1160"/>
      <c r="AO257" s="1160"/>
      <c r="AP257" s="1160"/>
      <c r="AQ257" s="1160"/>
      <c r="AR257" s="1160"/>
      <c r="AS257" s="1160"/>
      <c r="AT257" s="1160"/>
      <c r="AU257" s="1160"/>
      <c r="AV257" s="1160"/>
      <c r="AW257" s="1160"/>
      <c r="AX257" s="1160"/>
      <c r="AY257" s="1160"/>
      <c r="AZ257" s="1160"/>
      <c r="BA257" s="1160"/>
      <c r="BB257" s="1160"/>
      <c r="BC257" s="1160"/>
      <c r="BD257" s="1160"/>
      <c r="BE257" s="1160"/>
      <c r="BF257" s="1160"/>
      <c r="BG257" s="1160"/>
      <c r="BH257" s="1160"/>
    </row>
    <row r="258" spans="2:60" s="739" customFormat="1" x14ac:dyDescent="0.2">
      <c r="B258" s="1607"/>
      <c r="C258" s="1607"/>
      <c r="D258" s="1607"/>
      <c r="E258" s="1607"/>
      <c r="F258" s="1607"/>
      <c r="G258" s="1607"/>
      <c r="H258" s="1607"/>
      <c r="I258" s="1607"/>
      <c r="J258" s="1607"/>
      <c r="K258" s="1607"/>
      <c r="L258" s="1607"/>
      <c r="M258" s="1607"/>
      <c r="N258" s="1607"/>
      <c r="O258" s="1607"/>
      <c r="P258" s="1607"/>
      <c r="Q258" s="1607"/>
      <c r="R258" s="1607"/>
      <c r="S258" s="1607"/>
      <c r="T258" s="1607"/>
      <c r="U258" s="1607"/>
      <c r="V258" s="853"/>
      <c r="W258" s="853"/>
      <c r="X258" s="853"/>
      <c r="AC258" s="853"/>
      <c r="AD258" s="853"/>
      <c r="AE258" s="853"/>
      <c r="AF258" s="853"/>
      <c r="AG258" s="853"/>
      <c r="AH258" s="853"/>
      <c r="AI258" s="853"/>
      <c r="AJ258" s="853"/>
      <c r="AK258" s="853"/>
      <c r="AL258" s="1160"/>
      <c r="AM258" s="1160"/>
      <c r="AN258" s="1160"/>
      <c r="AO258" s="1160"/>
      <c r="AP258" s="1160"/>
      <c r="AQ258" s="1160"/>
      <c r="AR258" s="1160"/>
      <c r="AS258" s="1160"/>
      <c r="AT258" s="1160"/>
      <c r="AU258" s="1160"/>
      <c r="AV258" s="1160"/>
      <c r="AW258" s="1160"/>
      <c r="AX258" s="1160"/>
      <c r="AY258" s="1160"/>
      <c r="AZ258" s="1160"/>
      <c r="BA258" s="1160"/>
      <c r="BB258" s="1160"/>
      <c r="BC258" s="1160"/>
      <c r="BD258" s="1160"/>
      <c r="BE258" s="1160"/>
      <c r="BF258" s="1160"/>
      <c r="BG258" s="1160"/>
      <c r="BH258" s="1160"/>
    </row>
    <row r="259" spans="2:60" s="739" customFormat="1" x14ac:dyDescent="0.2">
      <c r="B259" s="1607"/>
      <c r="C259" s="1607"/>
      <c r="D259" s="1607"/>
      <c r="E259" s="1607"/>
      <c r="F259" s="1607"/>
      <c r="G259" s="1607"/>
      <c r="H259" s="1607"/>
      <c r="I259" s="1607"/>
      <c r="J259" s="1607"/>
      <c r="K259" s="1607"/>
      <c r="L259" s="1607"/>
      <c r="M259" s="1607"/>
      <c r="N259" s="1607"/>
      <c r="O259" s="1607"/>
      <c r="P259" s="1607"/>
      <c r="Q259" s="1607"/>
      <c r="R259" s="1607"/>
      <c r="S259" s="1607"/>
      <c r="T259" s="1607"/>
      <c r="U259" s="1607"/>
      <c r="V259" s="853"/>
      <c r="W259" s="853"/>
      <c r="X259" s="853"/>
      <c r="AC259" s="853"/>
      <c r="AD259" s="853"/>
      <c r="AE259" s="853"/>
      <c r="AF259" s="853"/>
      <c r="AG259" s="853"/>
      <c r="AH259" s="853"/>
      <c r="AI259" s="853"/>
      <c r="AJ259" s="853"/>
      <c r="AK259" s="853"/>
      <c r="AL259" s="1160"/>
      <c r="AM259" s="1160"/>
      <c r="AN259" s="1160"/>
      <c r="AO259" s="1160"/>
      <c r="AP259" s="1160"/>
      <c r="AQ259" s="1160"/>
      <c r="AR259" s="1160"/>
      <c r="AS259" s="1160"/>
      <c r="AT259" s="1160"/>
      <c r="AU259" s="1160"/>
      <c r="AV259" s="1160"/>
      <c r="AW259" s="1160"/>
      <c r="AX259" s="1160"/>
      <c r="AY259" s="1160"/>
      <c r="AZ259" s="1160"/>
      <c r="BA259" s="1160"/>
      <c r="BB259" s="1160"/>
      <c r="BC259" s="1160"/>
      <c r="BD259" s="1160"/>
      <c r="BE259" s="1160"/>
      <c r="BF259" s="1160"/>
      <c r="BG259" s="1160"/>
      <c r="BH259" s="1160"/>
    </row>
    <row r="260" spans="2:60" s="739" customFormat="1" x14ac:dyDescent="0.2">
      <c r="B260" s="1607"/>
      <c r="C260" s="1607"/>
      <c r="D260" s="1607"/>
      <c r="E260" s="1607"/>
      <c r="F260" s="1607"/>
      <c r="G260" s="1607"/>
      <c r="H260" s="1607"/>
      <c r="I260" s="1607"/>
      <c r="J260" s="1607"/>
      <c r="K260" s="1607"/>
      <c r="L260" s="1607"/>
      <c r="M260" s="1607"/>
      <c r="N260" s="1607"/>
      <c r="O260" s="1607"/>
      <c r="P260" s="1607"/>
      <c r="Q260" s="1607"/>
      <c r="R260" s="1607"/>
      <c r="S260" s="1607"/>
      <c r="T260" s="1607"/>
      <c r="U260" s="1607"/>
      <c r="V260" s="853"/>
      <c r="W260" s="853"/>
      <c r="X260" s="853"/>
      <c r="AC260" s="853"/>
      <c r="AD260" s="853"/>
      <c r="AE260" s="853"/>
      <c r="AF260" s="853"/>
      <c r="AG260" s="853"/>
      <c r="AH260" s="853"/>
      <c r="AI260" s="853"/>
      <c r="AJ260" s="853"/>
      <c r="AK260" s="853"/>
      <c r="AL260" s="1160"/>
      <c r="AM260" s="1160"/>
      <c r="AN260" s="1160"/>
      <c r="AO260" s="1160"/>
      <c r="AP260" s="1160"/>
      <c r="AQ260" s="1160"/>
      <c r="AR260" s="1160"/>
      <c r="AS260" s="1160"/>
      <c r="AT260" s="1160"/>
      <c r="AU260" s="1160"/>
      <c r="AV260" s="1160"/>
      <c r="AW260" s="1160"/>
      <c r="AX260" s="1160"/>
      <c r="AY260" s="1160"/>
      <c r="AZ260" s="1160"/>
      <c r="BA260" s="1160"/>
      <c r="BB260" s="1160"/>
      <c r="BC260" s="1160"/>
      <c r="BD260" s="1160"/>
      <c r="BE260" s="1160"/>
      <c r="BF260" s="1160"/>
      <c r="BG260" s="1160"/>
      <c r="BH260" s="1160"/>
    </row>
    <row r="261" spans="2:60" s="739" customFormat="1" x14ac:dyDescent="0.2">
      <c r="B261" s="1607"/>
      <c r="C261" s="1607"/>
      <c r="D261" s="1607"/>
      <c r="E261" s="1607"/>
      <c r="F261" s="1607"/>
      <c r="G261" s="1607"/>
      <c r="H261" s="1607"/>
      <c r="I261" s="1607"/>
      <c r="J261" s="1607"/>
      <c r="K261" s="1607"/>
      <c r="L261" s="1607"/>
      <c r="M261" s="1607"/>
      <c r="N261" s="1607"/>
      <c r="O261" s="1607"/>
      <c r="P261" s="1607"/>
      <c r="Q261" s="1607"/>
      <c r="R261" s="1607"/>
      <c r="S261" s="1607"/>
      <c r="T261" s="1607"/>
      <c r="U261" s="1607"/>
      <c r="V261" s="853"/>
      <c r="W261" s="853"/>
      <c r="X261" s="853"/>
      <c r="AC261" s="853"/>
      <c r="AD261" s="853"/>
      <c r="AE261" s="853"/>
      <c r="AF261" s="853"/>
      <c r="AG261" s="853"/>
      <c r="AH261" s="853"/>
      <c r="AI261" s="853"/>
      <c r="AJ261" s="853"/>
      <c r="AK261" s="853"/>
      <c r="AL261" s="1160"/>
      <c r="AM261" s="1160"/>
      <c r="AN261" s="1160"/>
      <c r="AO261" s="1160"/>
      <c r="AP261" s="1160"/>
      <c r="AQ261" s="1160"/>
      <c r="AR261" s="1160"/>
      <c r="AS261" s="1160"/>
      <c r="AT261" s="1160"/>
      <c r="AU261" s="1160"/>
      <c r="AV261" s="1160"/>
      <c r="AW261" s="1160"/>
      <c r="AX261" s="1160"/>
      <c r="AY261" s="1160"/>
      <c r="AZ261" s="1160"/>
      <c r="BA261" s="1160"/>
      <c r="BB261" s="1160"/>
      <c r="BC261" s="1160"/>
      <c r="BD261" s="1160"/>
      <c r="BE261" s="1160"/>
      <c r="BF261" s="1160"/>
      <c r="BG261" s="1160"/>
      <c r="BH261" s="1160"/>
    </row>
    <row r="262" spans="2:60" s="739" customFormat="1" x14ac:dyDescent="0.2">
      <c r="B262" s="1607"/>
      <c r="C262" s="1607"/>
      <c r="D262" s="1607"/>
      <c r="E262" s="1607"/>
      <c r="F262" s="1607"/>
      <c r="G262" s="1607"/>
      <c r="H262" s="1607"/>
      <c r="I262" s="1607"/>
      <c r="J262" s="1607"/>
      <c r="K262" s="1607"/>
      <c r="L262" s="1607"/>
      <c r="M262" s="1607"/>
      <c r="N262" s="1607"/>
      <c r="O262" s="1607"/>
      <c r="P262" s="1607"/>
      <c r="Q262" s="1607"/>
      <c r="R262" s="1607"/>
      <c r="S262" s="1607"/>
      <c r="T262" s="1607"/>
      <c r="U262" s="1607"/>
      <c r="V262" s="853"/>
      <c r="W262" s="853"/>
      <c r="X262" s="853"/>
      <c r="AC262" s="853"/>
      <c r="AD262" s="853"/>
      <c r="AE262" s="853"/>
      <c r="AF262" s="853"/>
      <c r="AG262" s="853"/>
      <c r="AH262" s="853"/>
      <c r="AI262" s="853"/>
      <c r="AJ262" s="853"/>
      <c r="AK262" s="853"/>
      <c r="AL262" s="1160"/>
      <c r="AM262" s="1160"/>
      <c r="AN262" s="1160"/>
      <c r="AO262" s="1160"/>
      <c r="AP262" s="1160"/>
      <c r="AQ262" s="1160"/>
      <c r="AR262" s="1160"/>
      <c r="AS262" s="1160"/>
      <c r="AT262" s="1160"/>
      <c r="AU262" s="1160"/>
      <c r="AV262" s="1160"/>
      <c r="AW262" s="1160"/>
      <c r="AX262" s="1160"/>
      <c r="AY262" s="1160"/>
      <c r="AZ262" s="1160"/>
      <c r="BA262" s="1160"/>
      <c r="BB262" s="1160"/>
      <c r="BC262" s="1160"/>
      <c r="BD262" s="1160"/>
      <c r="BE262" s="1160"/>
      <c r="BF262" s="1160"/>
      <c r="BG262" s="1160"/>
      <c r="BH262" s="1160"/>
    </row>
    <row r="263" spans="2:60" s="739" customFormat="1" x14ac:dyDescent="0.2">
      <c r="B263" s="1607"/>
      <c r="C263" s="1607"/>
      <c r="D263" s="1607"/>
      <c r="E263" s="1607"/>
      <c r="F263" s="1607"/>
      <c r="G263" s="1607"/>
      <c r="H263" s="1607"/>
      <c r="I263" s="1607"/>
      <c r="J263" s="1607"/>
      <c r="K263" s="1607"/>
      <c r="L263" s="1607"/>
      <c r="M263" s="1607"/>
      <c r="N263" s="1607"/>
      <c r="O263" s="1607"/>
      <c r="P263" s="1607"/>
      <c r="Q263" s="1607"/>
      <c r="R263" s="1607"/>
      <c r="S263" s="1607"/>
      <c r="T263" s="1607"/>
      <c r="U263" s="1607"/>
      <c r="V263" s="853"/>
      <c r="W263" s="853"/>
      <c r="X263" s="853"/>
      <c r="AC263" s="853"/>
      <c r="AD263" s="853"/>
      <c r="AE263" s="853"/>
      <c r="AF263" s="853"/>
      <c r="AG263" s="853"/>
      <c r="AH263" s="853"/>
      <c r="AI263" s="853"/>
      <c r="AJ263" s="853"/>
      <c r="AK263" s="853"/>
      <c r="AL263" s="1160"/>
      <c r="AM263" s="1160"/>
      <c r="AN263" s="1160"/>
      <c r="AO263" s="1160"/>
      <c r="AP263" s="1160"/>
      <c r="AQ263" s="1160"/>
      <c r="AR263" s="1160"/>
      <c r="AS263" s="1160"/>
      <c r="AT263" s="1160"/>
      <c r="AU263" s="1160"/>
      <c r="AV263" s="1160"/>
      <c r="AW263" s="1160"/>
      <c r="AX263" s="1160"/>
      <c r="AY263" s="1160"/>
      <c r="AZ263" s="1160"/>
      <c r="BA263" s="1160"/>
      <c r="BB263" s="1160"/>
      <c r="BC263" s="1160"/>
      <c r="BD263" s="1160"/>
      <c r="BE263" s="1160"/>
      <c r="BF263" s="1160"/>
      <c r="BG263" s="1160"/>
      <c r="BH263" s="1160"/>
    </row>
    <row r="264" spans="2:60" s="739" customFormat="1" x14ac:dyDescent="0.2">
      <c r="B264" s="1607"/>
      <c r="C264" s="1607"/>
      <c r="D264" s="1607"/>
      <c r="E264" s="1607"/>
      <c r="F264" s="1607"/>
      <c r="G264" s="1607"/>
      <c r="H264" s="1607"/>
      <c r="I264" s="1607"/>
      <c r="J264" s="1607"/>
      <c r="K264" s="1607"/>
      <c r="L264" s="1607"/>
      <c r="M264" s="1607"/>
      <c r="N264" s="1607"/>
      <c r="O264" s="1607"/>
      <c r="P264" s="1607"/>
      <c r="Q264" s="1607"/>
      <c r="R264" s="1607"/>
      <c r="S264" s="1607"/>
      <c r="T264" s="1607"/>
      <c r="U264" s="1607"/>
      <c r="V264" s="853"/>
      <c r="W264" s="853"/>
      <c r="X264" s="853"/>
      <c r="AC264" s="853"/>
      <c r="AD264" s="853"/>
      <c r="AE264" s="853"/>
      <c r="AF264" s="853"/>
      <c r="AG264" s="853"/>
      <c r="AH264" s="853"/>
      <c r="AI264" s="853"/>
      <c r="AJ264" s="853"/>
      <c r="AK264" s="853"/>
      <c r="AL264" s="1160"/>
      <c r="AM264" s="1160"/>
      <c r="AN264" s="1160"/>
      <c r="AO264" s="1160"/>
      <c r="AP264" s="1160"/>
      <c r="AQ264" s="1160"/>
      <c r="AR264" s="1160"/>
      <c r="AS264" s="1160"/>
      <c r="AT264" s="1160"/>
      <c r="AU264" s="1160"/>
      <c r="AV264" s="1160"/>
      <c r="AW264" s="1160"/>
      <c r="AX264" s="1160"/>
      <c r="AY264" s="1160"/>
      <c r="AZ264" s="1160"/>
      <c r="BA264" s="1160"/>
      <c r="BB264" s="1160"/>
      <c r="BC264" s="1160"/>
      <c r="BD264" s="1160"/>
      <c r="BE264" s="1160"/>
      <c r="BF264" s="1160"/>
      <c r="BG264" s="1160"/>
      <c r="BH264" s="1160"/>
    </row>
    <row r="265" spans="2:60" s="739" customFormat="1" x14ac:dyDescent="0.2">
      <c r="B265" s="1607"/>
      <c r="C265" s="1607"/>
      <c r="D265" s="1607"/>
      <c r="E265" s="1607"/>
      <c r="F265" s="1607"/>
      <c r="G265" s="1607"/>
      <c r="H265" s="1607"/>
      <c r="I265" s="1607"/>
      <c r="J265" s="1607"/>
      <c r="K265" s="1607"/>
      <c r="L265" s="1607"/>
      <c r="M265" s="1607"/>
      <c r="N265" s="1607"/>
      <c r="O265" s="1607"/>
      <c r="P265" s="1607"/>
      <c r="Q265" s="1607"/>
      <c r="R265" s="1607"/>
      <c r="S265" s="1607"/>
      <c r="T265" s="1607"/>
      <c r="U265" s="1607"/>
      <c r="V265" s="853"/>
      <c r="W265" s="853"/>
      <c r="X265" s="853"/>
      <c r="AC265" s="853"/>
      <c r="AD265" s="853"/>
      <c r="AE265" s="853"/>
      <c r="AF265" s="853"/>
      <c r="AG265" s="853"/>
      <c r="AH265" s="853"/>
      <c r="AI265" s="853"/>
      <c r="AJ265" s="853"/>
      <c r="AK265" s="853"/>
      <c r="AL265" s="1160"/>
      <c r="AM265" s="1160"/>
      <c r="AN265" s="1160"/>
      <c r="AO265" s="1160"/>
      <c r="AP265" s="1160"/>
      <c r="AQ265" s="1160"/>
      <c r="AR265" s="1160"/>
      <c r="AS265" s="1160"/>
      <c r="AT265" s="1160"/>
      <c r="AU265" s="1160"/>
      <c r="AV265" s="1160"/>
      <c r="AW265" s="1160"/>
      <c r="AX265" s="1160"/>
      <c r="AY265" s="1160"/>
      <c r="AZ265" s="1160"/>
      <c r="BA265" s="1160"/>
      <c r="BB265" s="1160"/>
      <c r="BC265" s="1160"/>
      <c r="BD265" s="1160"/>
      <c r="BE265" s="1160"/>
      <c r="BF265" s="1160"/>
      <c r="BG265" s="1160"/>
      <c r="BH265" s="1160"/>
    </row>
    <row r="266" spans="2:60" s="739" customFormat="1" x14ac:dyDescent="0.2">
      <c r="B266" s="1607"/>
      <c r="C266" s="1607"/>
      <c r="D266" s="1607"/>
      <c r="E266" s="1607"/>
      <c r="F266" s="1607"/>
      <c r="G266" s="1607"/>
      <c r="H266" s="1607"/>
      <c r="I266" s="1607"/>
      <c r="J266" s="1607"/>
      <c r="K266" s="1607"/>
      <c r="L266" s="1607"/>
      <c r="M266" s="1607"/>
      <c r="N266" s="1607"/>
      <c r="O266" s="1607"/>
      <c r="P266" s="1607"/>
      <c r="Q266" s="1607"/>
      <c r="R266" s="1607"/>
      <c r="S266" s="1607"/>
      <c r="T266" s="1607"/>
      <c r="U266" s="1607"/>
      <c r="V266" s="853"/>
      <c r="W266" s="853"/>
      <c r="X266" s="853"/>
      <c r="AC266" s="853"/>
      <c r="AD266" s="853"/>
      <c r="AE266" s="853"/>
      <c r="AF266" s="853"/>
      <c r="AG266" s="853"/>
      <c r="AH266" s="853"/>
      <c r="AI266" s="853"/>
      <c r="AJ266" s="853"/>
      <c r="AK266" s="853"/>
      <c r="AL266" s="1160"/>
      <c r="AM266" s="1160"/>
      <c r="AN266" s="1160"/>
      <c r="AO266" s="1160"/>
      <c r="AP266" s="1160"/>
      <c r="AQ266" s="1160"/>
      <c r="AR266" s="1160"/>
      <c r="AS266" s="1160"/>
      <c r="AT266" s="1160"/>
      <c r="AU266" s="1160"/>
      <c r="AV266" s="1160"/>
      <c r="AW266" s="1160"/>
      <c r="AX266" s="1160"/>
      <c r="AY266" s="1160"/>
      <c r="AZ266" s="1160"/>
      <c r="BA266" s="1160"/>
      <c r="BB266" s="1160"/>
      <c r="BC266" s="1160"/>
      <c r="BD266" s="1160"/>
      <c r="BE266" s="1160"/>
      <c r="BF266" s="1160"/>
      <c r="BG266" s="1160"/>
      <c r="BH266" s="1160"/>
    </row>
    <row r="267" spans="2:60" s="739" customFormat="1" x14ac:dyDescent="0.2">
      <c r="B267" s="1607"/>
      <c r="C267" s="1607"/>
      <c r="D267" s="1607"/>
      <c r="E267" s="1607"/>
      <c r="F267" s="1607"/>
      <c r="G267" s="1607"/>
      <c r="H267" s="1607"/>
      <c r="I267" s="1607"/>
      <c r="J267" s="1607"/>
      <c r="K267" s="1607"/>
      <c r="L267" s="1607"/>
      <c r="M267" s="1607"/>
      <c r="N267" s="1607"/>
      <c r="O267" s="1607"/>
      <c r="P267" s="1607"/>
      <c r="Q267" s="1607"/>
      <c r="R267" s="1607"/>
      <c r="S267" s="1607"/>
      <c r="T267" s="1607"/>
      <c r="U267" s="1607"/>
      <c r="V267" s="853"/>
      <c r="W267" s="853"/>
      <c r="X267" s="853"/>
      <c r="AC267" s="853"/>
      <c r="AD267" s="853"/>
      <c r="AE267" s="853"/>
      <c r="AF267" s="853"/>
      <c r="AG267" s="853"/>
      <c r="AH267" s="853"/>
      <c r="AI267" s="853"/>
      <c r="AJ267" s="853"/>
      <c r="AK267" s="853"/>
      <c r="AL267" s="1160"/>
      <c r="AM267" s="1160"/>
      <c r="AN267" s="1160"/>
      <c r="AO267" s="1160"/>
      <c r="AP267" s="1160"/>
      <c r="AQ267" s="1160"/>
      <c r="AR267" s="1160"/>
      <c r="AS267" s="1160"/>
      <c r="AT267" s="1160"/>
      <c r="AU267" s="1160"/>
      <c r="AV267" s="1160"/>
      <c r="AW267" s="1160"/>
      <c r="AX267" s="1160"/>
      <c r="AY267" s="1160"/>
      <c r="AZ267" s="1160"/>
      <c r="BA267" s="1160"/>
      <c r="BB267" s="1160"/>
      <c r="BC267" s="1160"/>
      <c r="BD267" s="1160"/>
      <c r="BE267" s="1160"/>
      <c r="BF267" s="1160"/>
      <c r="BG267" s="1160"/>
      <c r="BH267" s="1160"/>
    </row>
    <row r="268" spans="2:60" s="739" customFormat="1" x14ac:dyDescent="0.2">
      <c r="B268" s="1607"/>
      <c r="C268" s="1607"/>
      <c r="D268" s="1607"/>
      <c r="E268" s="1607"/>
      <c r="F268" s="1607"/>
      <c r="G268" s="1607"/>
      <c r="H268" s="1607"/>
      <c r="I268" s="1607"/>
      <c r="J268" s="1607"/>
      <c r="K268" s="1607"/>
      <c r="L268" s="1607"/>
      <c r="M268" s="1607"/>
      <c r="N268" s="1607"/>
      <c r="O268" s="1607"/>
      <c r="P268" s="1607"/>
      <c r="Q268" s="1607"/>
      <c r="R268" s="1607"/>
      <c r="S268" s="1607"/>
      <c r="T268" s="1607"/>
      <c r="U268" s="1607"/>
      <c r="V268" s="853"/>
      <c r="W268" s="853"/>
      <c r="X268" s="853"/>
      <c r="AC268" s="853"/>
      <c r="AD268" s="853"/>
      <c r="AE268" s="853"/>
      <c r="AF268" s="853"/>
      <c r="AG268" s="853"/>
      <c r="AH268" s="853"/>
      <c r="AI268" s="853"/>
      <c r="AJ268" s="853"/>
      <c r="AK268" s="853"/>
      <c r="AL268" s="1160"/>
      <c r="AM268" s="1160"/>
      <c r="AN268" s="1160"/>
      <c r="AO268" s="1160"/>
      <c r="AP268" s="1160"/>
      <c r="AQ268" s="1160"/>
      <c r="AR268" s="1160"/>
      <c r="AS268" s="1160"/>
      <c r="AT268" s="1160"/>
      <c r="AU268" s="1160"/>
      <c r="AV268" s="1160"/>
      <c r="AW268" s="1160"/>
      <c r="AX268" s="1160"/>
      <c r="AY268" s="1160"/>
      <c r="AZ268" s="1160"/>
      <c r="BA268" s="1160"/>
      <c r="BB268" s="1160"/>
      <c r="BC268" s="1160"/>
      <c r="BD268" s="1160"/>
      <c r="BE268" s="1160"/>
      <c r="BF268" s="1160"/>
      <c r="BG268" s="1160"/>
      <c r="BH268" s="1160"/>
    </row>
    <row r="269" spans="2:60" s="739" customFormat="1" x14ac:dyDescent="0.2">
      <c r="B269" s="1607"/>
      <c r="C269" s="1607"/>
      <c r="D269" s="1607"/>
      <c r="E269" s="1607"/>
      <c r="F269" s="1607"/>
      <c r="G269" s="1607"/>
      <c r="H269" s="1607"/>
      <c r="I269" s="1607"/>
      <c r="J269" s="1607"/>
      <c r="K269" s="1607"/>
      <c r="L269" s="1607"/>
      <c r="M269" s="1607"/>
      <c r="N269" s="1607"/>
      <c r="O269" s="1607"/>
      <c r="P269" s="1607"/>
      <c r="Q269" s="1607"/>
      <c r="R269" s="1607"/>
      <c r="S269" s="1607"/>
      <c r="T269" s="1607"/>
      <c r="U269" s="1607"/>
      <c r="V269" s="853"/>
      <c r="W269" s="853"/>
      <c r="X269" s="853"/>
      <c r="AC269" s="853"/>
      <c r="AD269" s="853"/>
      <c r="AE269" s="853"/>
      <c r="AF269" s="853"/>
      <c r="AG269" s="853"/>
      <c r="AH269" s="853"/>
      <c r="AI269" s="853"/>
      <c r="AJ269" s="853"/>
      <c r="AK269" s="853"/>
      <c r="AL269" s="1160"/>
      <c r="AM269" s="1160"/>
      <c r="AN269" s="1160"/>
      <c r="AO269" s="1160"/>
      <c r="AP269" s="1160"/>
      <c r="AQ269" s="1160"/>
      <c r="AR269" s="1160"/>
      <c r="AS269" s="1160"/>
      <c r="AT269" s="1160"/>
      <c r="AU269" s="1160"/>
      <c r="AV269" s="1160"/>
      <c r="AW269" s="1160"/>
      <c r="AX269" s="1160"/>
      <c r="AY269" s="1160"/>
      <c r="AZ269" s="1160"/>
      <c r="BA269" s="1160"/>
      <c r="BB269" s="1160"/>
      <c r="BC269" s="1160"/>
      <c r="BD269" s="1160"/>
      <c r="BE269" s="1160"/>
      <c r="BF269" s="1160"/>
      <c r="BG269" s="1160"/>
      <c r="BH269" s="1160"/>
    </row>
    <row r="270" spans="2:60" s="739" customFormat="1" x14ac:dyDescent="0.2">
      <c r="B270" s="1607"/>
      <c r="C270" s="1607"/>
      <c r="D270" s="1607"/>
      <c r="E270" s="1607"/>
      <c r="F270" s="1607"/>
      <c r="G270" s="1607"/>
      <c r="H270" s="1607"/>
      <c r="I270" s="1607"/>
      <c r="J270" s="1607"/>
      <c r="K270" s="1607"/>
      <c r="L270" s="1607"/>
      <c r="M270" s="1607"/>
      <c r="N270" s="1607"/>
      <c r="O270" s="1607"/>
      <c r="P270" s="1607"/>
      <c r="Q270" s="1607"/>
      <c r="R270" s="1607"/>
      <c r="S270" s="1607"/>
      <c r="T270" s="1607"/>
      <c r="U270" s="1607"/>
      <c r="V270" s="853"/>
      <c r="W270" s="853"/>
      <c r="X270" s="853"/>
      <c r="AC270" s="853"/>
      <c r="AD270" s="853"/>
      <c r="AE270" s="853"/>
      <c r="AF270" s="853"/>
      <c r="AG270" s="853"/>
      <c r="AH270" s="853"/>
      <c r="AI270" s="853"/>
      <c r="AJ270" s="853"/>
      <c r="AK270" s="853"/>
      <c r="AL270" s="1160"/>
      <c r="AM270" s="1160"/>
      <c r="AN270" s="1160"/>
      <c r="AO270" s="1160"/>
      <c r="AP270" s="1160"/>
      <c r="AQ270" s="1160"/>
      <c r="AR270" s="1160"/>
      <c r="AS270" s="1160"/>
      <c r="AT270" s="1160"/>
      <c r="AU270" s="1160"/>
      <c r="AV270" s="1160"/>
      <c r="AW270" s="1160"/>
      <c r="AX270" s="1160"/>
      <c r="AY270" s="1160"/>
      <c r="AZ270" s="1160"/>
      <c r="BA270" s="1160"/>
      <c r="BB270" s="1160"/>
      <c r="BC270" s="1160"/>
      <c r="BD270" s="1160"/>
      <c r="BE270" s="1160"/>
      <c r="BF270" s="1160"/>
      <c r="BG270" s="1160"/>
      <c r="BH270" s="1160"/>
    </row>
    <row r="271" spans="2:60" s="739" customFormat="1" x14ac:dyDescent="0.2">
      <c r="B271" s="1607"/>
      <c r="C271" s="1607"/>
      <c r="D271" s="1607"/>
      <c r="E271" s="1607"/>
      <c r="F271" s="1607"/>
      <c r="G271" s="1607"/>
      <c r="H271" s="1607"/>
      <c r="I271" s="1607"/>
      <c r="J271" s="1607"/>
      <c r="K271" s="1607"/>
      <c r="L271" s="1607"/>
      <c r="M271" s="1607"/>
      <c r="N271" s="1607"/>
      <c r="O271" s="1607"/>
      <c r="P271" s="1607"/>
      <c r="Q271" s="1607"/>
      <c r="R271" s="1607"/>
      <c r="S271" s="1607"/>
      <c r="T271" s="1607"/>
      <c r="U271" s="1607"/>
      <c r="V271" s="853"/>
      <c r="W271" s="853"/>
      <c r="X271" s="853"/>
      <c r="AC271" s="853"/>
      <c r="AD271" s="853"/>
      <c r="AE271" s="853"/>
      <c r="AF271" s="853"/>
      <c r="AG271" s="853"/>
      <c r="AH271" s="853"/>
      <c r="AI271" s="853"/>
      <c r="AJ271" s="853"/>
      <c r="AK271" s="853"/>
      <c r="AL271" s="1160"/>
      <c r="AM271" s="1160"/>
      <c r="AN271" s="1160"/>
      <c r="AO271" s="1160"/>
      <c r="AP271" s="1160"/>
      <c r="AQ271" s="1160"/>
      <c r="AR271" s="1160"/>
      <c r="AS271" s="1160"/>
      <c r="AT271" s="1160"/>
      <c r="AU271" s="1160"/>
      <c r="AV271" s="1160"/>
      <c r="AW271" s="1160"/>
      <c r="AX271" s="1160"/>
      <c r="AY271" s="1160"/>
      <c r="AZ271" s="1160"/>
      <c r="BA271" s="1160"/>
      <c r="BB271" s="1160"/>
      <c r="BC271" s="1160"/>
      <c r="BD271" s="1160"/>
      <c r="BE271" s="1160"/>
      <c r="BF271" s="1160"/>
      <c r="BG271" s="1160"/>
      <c r="BH271" s="1160"/>
    </row>
    <row r="272" spans="2:60" s="739" customFormat="1" x14ac:dyDescent="0.2">
      <c r="B272" s="1607"/>
      <c r="C272" s="1607"/>
      <c r="D272" s="1607"/>
      <c r="E272" s="1607"/>
      <c r="F272" s="1607"/>
      <c r="G272" s="1607"/>
      <c r="H272" s="1607"/>
      <c r="I272" s="1607"/>
      <c r="J272" s="1607"/>
      <c r="K272" s="1607"/>
      <c r="L272" s="1607"/>
      <c r="M272" s="1607"/>
      <c r="N272" s="1607"/>
      <c r="O272" s="1607"/>
      <c r="P272" s="1607"/>
      <c r="Q272" s="1607"/>
      <c r="R272" s="1607"/>
      <c r="S272" s="1607"/>
      <c r="T272" s="1607"/>
      <c r="U272" s="1607"/>
      <c r="V272" s="853"/>
      <c r="W272" s="853"/>
      <c r="X272" s="853"/>
      <c r="AC272" s="853"/>
      <c r="AD272" s="853"/>
      <c r="AE272" s="853"/>
      <c r="AF272" s="853"/>
      <c r="AG272" s="853"/>
      <c r="AH272" s="853"/>
      <c r="AI272" s="853"/>
      <c r="AJ272" s="853"/>
      <c r="AK272" s="853"/>
      <c r="AL272" s="1160"/>
      <c r="AM272" s="1160"/>
      <c r="AN272" s="1160"/>
      <c r="AO272" s="1160"/>
      <c r="AP272" s="1160"/>
      <c r="AQ272" s="1160"/>
      <c r="AR272" s="1160"/>
      <c r="AS272" s="1160"/>
      <c r="AT272" s="1160"/>
      <c r="AU272" s="1160"/>
      <c r="AV272" s="1160"/>
      <c r="AW272" s="1160"/>
      <c r="AX272" s="1160"/>
      <c r="AY272" s="1160"/>
      <c r="AZ272" s="1160"/>
      <c r="BA272" s="1160"/>
      <c r="BB272" s="1160"/>
      <c r="BC272" s="1160"/>
      <c r="BD272" s="1160"/>
      <c r="BE272" s="1160"/>
      <c r="BF272" s="1160"/>
      <c r="BG272" s="1160"/>
      <c r="BH272" s="1160"/>
    </row>
    <row r="273" spans="2:60" s="739" customFormat="1" x14ac:dyDescent="0.2">
      <c r="B273" s="1607"/>
      <c r="C273" s="1607"/>
      <c r="D273" s="1607"/>
      <c r="E273" s="1607"/>
      <c r="F273" s="1607"/>
      <c r="G273" s="1607"/>
      <c r="H273" s="1607"/>
      <c r="I273" s="1607"/>
      <c r="J273" s="1607"/>
      <c r="K273" s="1607"/>
      <c r="L273" s="1607"/>
      <c r="M273" s="1607"/>
      <c r="N273" s="1607"/>
      <c r="O273" s="1607"/>
      <c r="P273" s="1607"/>
      <c r="Q273" s="1607"/>
      <c r="R273" s="1607"/>
      <c r="S273" s="1607"/>
      <c r="T273" s="1607"/>
      <c r="U273" s="1607"/>
      <c r="V273" s="853"/>
      <c r="W273" s="853"/>
      <c r="X273" s="853"/>
      <c r="AC273" s="853"/>
      <c r="AD273" s="853"/>
      <c r="AE273" s="853"/>
      <c r="AF273" s="853"/>
      <c r="AG273" s="853"/>
      <c r="AH273" s="853"/>
      <c r="AI273" s="853"/>
      <c r="AJ273" s="853"/>
      <c r="AK273" s="853"/>
      <c r="AL273" s="1160"/>
      <c r="AM273" s="1160"/>
      <c r="AN273" s="1160"/>
      <c r="AO273" s="1160"/>
      <c r="AP273" s="1160"/>
      <c r="AQ273" s="1160"/>
      <c r="AR273" s="1160"/>
      <c r="AS273" s="1160"/>
      <c r="AT273" s="1160"/>
      <c r="AU273" s="1160"/>
      <c r="AV273" s="1160"/>
      <c r="AW273" s="1160"/>
      <c r="AX273" s="1160"/>
      <c r="AY273" s="1160"/>
      <c r="AZ273" s="1160"/>
      <c r="BA273" s="1160"/>
      <c r="BB273" s="1160"/>
      <c r="BC273" s="1160"/>
      <c r="BD273" s="1160"/>
      <c r="BE273" s="1160"/>
      <c r="BF273" s="1160"/>
      <c r="BG273" s="1160"/>
      <c r="BH273" s="1160"/>
    </row>
    <row r="274" spans="2:60" s="739" customFormat="1" x14ac:dyDescent="0.2">
      <c r="B274" s="1607"/>
      <c r="C274" s="1607"/>
      <c r="D274" s="1607"/>
      <c r="E274" s="1607"/>
      <c r="F274" s="1607"/>
      <c r="G274" s="1607"/>
      <c r="H274" s="1607"/>
      <c r="I274" s="1607"/>
      <c r="J274" s="1607"/>
      <c r="K274" s="1607"/>
      <c r="L274" s="1607"/>
      <c r="M274" s="1607"/>
      <c r="N274" s="1607"/>
      <c r="O274" s="1607"/>
      <c r="P274" s="1607"/>
      <c r="Q274" s="1607"/>
      <c r="R274" s="1607"/>
      <c r="S274" s="1607"/>
      <c r="T274" s="1607"/>
      <c r="U274" s="1607"/>
      <c r="V274" s="853"/>
      <c r="W274" s="853"/>
      <c r="X274" s="853"/>
      <c r="AC274" s="853"/>
      <c r="AD274" s="853"/>
      <c r="AE274" s="853"/>
      <c r="AF274" s="853"/>
      <c r="AG274" s="853"/>
      <c r="AH274" s="853"/>
      <c r="AI274" s="853"/>
      <c r="AJ274" s="853"/>
      <c r="AK274" s="853"/>
      <c r="AL274" s="1160"/>
      <c r="AM274" s="1160"/>
      <c r="AN274" s="1160"/>
      <c r="AO274" s="1160"/>
      <c r="AP274" s="1160"/>
      <c r="AQ274" s="1160"/>
      <c r="AR274" s="1160"/>
      <c r="AS274" s="1160"/>
      <c r="AT274" s="1160"/>
      <c r="AU274" s="1160"/>
      <c r="AV274" s="1160"/>
      <c r="AW274" s="1160"/>
      <c r="AX274" s="1160"/>
      <c r="AY274" s="1160"/>
      <c r="AZ274" s="1160"/>
      <c r="BA274" s="1160"/>
      <c r="BB274" s="1160"/>
      <c r="BC274" s="1160"/>
      <c r="BD274" s="1160"/>
      <c r="BE274" s="1160"/>
      <c r="BF274" s="1160"/>
      <c r="BG274" s="1160"/>
      <c r="BH274" s="1160"/>
    </row>
    <row r="275" spans="2:60" s="739" customFormat="1" x14ac:dyDescent="0.2">
      <c r="B275" s="1607"/>
      <c r="C275" s="1607"/>
      <c r="D275" s="1607"/>
      <c r="E275" s="1607"/>
      <c r="F275" s="1607"/>
      <c r="G275" s="1607"/>
      <c r="H275" s="1607"/>
      <c r="I275" s="1607"/>
      <c r="J275" s="1607"/>
      <c r="K275" s="1607"/>
      <c r="L275" s="1607"/>
      <c r="M275" s="1607"/>
      <c r="N275" s="1607"/>
      <c r="O275" s="1607"/>
      <c r="P275" s="1607"/>
      <c r="Q275" s="1607"/>
      <c r="R275" s="1607"/>
      <c r="S275" s="1607"/>
      <c r="T275" s="1607"/>
      <c r="U275" s="1607"/>
      <c r="V275" s="853"/>
      <c r="W275" s="853"/>
      <c r="X275" s="853"/>
      <c r="AC275" s="853"/>
      <c r="AD275" s="853"/>
      <c r="AE275" s="853"/>
      <c r="AF275" s="853"/>
      <c r="AG275" s="853"/>
      <c r="AH275" s="853"/>
      <c r="AI275" s="853"/>
      <c r="AJ275" s="853"/>
      <c r="AK275" s="853"/>
      <c r="AL275" s="1160"/>
      <c r="AM275" s="1160"/>
      <c r="AN275" s="1160"/>
      <c r="AO275" s="1160"/>
      <c r="AP275" s="1160"/>
      <c r="AQ275" s="1160"/>
      <c r="AR275" s="1160"/>
      <c r="AS275" s="1160"/>
      <c r="AT275" s="1160"/>
      <c r="AU275" s="1160"/>
      <c r="AV275" s="1160"/>
      <c r="AW275" s="1160"/>
      <c r="AX275" s="1160"/>
      <c r="AY275" s="1160"/>
      <c r="AZ275" s="1160"/>
      <c r="BA275" s="1160"/>
      <c r="BB275" s="1160"/>
      <c r="BC275" s="1160"/>
      <c r="BD275" s="1160"/>
      <c r="BE275" s="1160"/>
      <c r="BF275" s="1160"/>
      <c r="BG275" s="1160"/>
      <c r="BH275" s="1160"/>
    </row>
    <row r="276" spans="2:60" s="739" customFormat="1" x14ac:dyDescent="0.2">
      <c r="B276" s="1607"/>
      <c r="C276" s="1607"/>
      <c r="D276" s="1607"/>
      <c r="E276" s="1607"/>
      <c r="F276" s="1607"/>
      <c r="G276" s="1607"/>
      <c r="H276" s="1607"/>
      <c r="I276" s="1607"/>
      <c r="J276" s="1607"/>
      <c r="K276" s="1607"/>
      <c r="L276" s="1607"/>
      <c r="M276" s="1607"/>
      <c r="N276" s="1607"/>
      <c r="O276" s="1607"/>
      <c r="P276" s="1607"/>
      <c r="Q276" s="1607"/>
      <c r="R276" s="1607"/>
      <c r="S276" s="1607"/>
      <c r="T276" s="1607"/>
      <c r="U276" s="1607"/>
      <c r="V276" s="853"/>
      <c r="W276" s="853"/>
      <c r="X276" s="853"/>
      <c r="AC276" s="853"/>
      <c r="AD276" s="853"/>
      <c r="AE276" s="853"/>
      <c r="AF276" s="853"/>
      <c r="AG276" s="853"/>
      <c r="AH276" s="853"/>
      <c r="AI276" s="853"/>
      <c r="AJ276" s="853"/>
      <c r="AK276" s="853"/>
      <c r="AL276" s="1160"/>
      <c r="AM276" s="1160"/>
      <c r="AN276" s="1160"/>
      <c r="AO276" s="1160"/>
      <c r="AP276" s="1160"/>
      <c r="AQ276" s="1160"/>
      <c r="AR276" s="1160"/>
      <c r="AS276" s="1160"/>
      <c r="AT276" s="1160"/>
      <c r="AU276" s="1160"/>
      <c r="AV276" s="1160"/>
      <c r="AW276" s="1160"/>
      <c r="AX276" s="1160"/>
      <c r="AY276" s="1160"/>
      <c r="AZ276" s="1160"/>
      <c r="BA276" s="1160"/>
      <c r="BB276" s="1160"/>
      <c r="BC276" s="1160"/>
      <c r="BD276" s="1160"/>
      <c r="BE276" s="1160"/>
      <c r="BF276" s="1160"/>
      <c r="BG276" s="1160"/>
      <c r="BH276" s="1160"/>
    </row>
    <row r="277" spans="2:60" s="739" customFormat="1" x14ac:dyDescent="0.2">
      <c r="B277" s="1607"/>
      <c r="C277" s="1607"/>
      <c r="D277" s="1607"/>
      <c r="E277" s="1607"/>
      <c r="F277" s="1607"/>
      <c r="G277" s="1607"/>
      <c r="H277" s="1607"/>
      <c r="I277" s="1607"/>
      <c r="J277" s="1607"/>
      <c r="K277" s="1607"/>
      <c r="L277" s="1607"/>
      <c r="M277" s="1607"/>
      <c r="N277" s="1607"/>
      <c r="O277" s="1607"/>
      <c r="P277" s="1607"/>
      <c r="Q277" s="1607"/>
      <c r="R277" s="1607"/>
      <c r="S277" s="1607"/>
      <c r="T277" s="1607"/>
      <c r="U277" s="1607"/>
      <c r="V277" s="853"/>
      <c r="W277" s="853"/>
      <c r="X277" s="853"/>
      <c r="AC277" s="853"/>
      <c r="AD277" s="853"/>
      <c r="AE277" s="853"/>
      <c r="AF277" s="853"/>
      <c r="AG277" s="853"/>
      <c r="AH277" s="853"/>
      <c r="AI277" s="853"/>
      <c r="AJ277" s="853"/>
      <c r="AK277" s="853"/>
      <c r="AL277" s="1160"/>
      <c r="AM277" s="1160"/>
      <c r="AN277" s="1160"/>
      <c r="AO277" s="1160"/>
      <c r="AP277" s="1160"/>
      <c r="AQ277" s="1160"/>
      <c r="AR277" s="1160"/>
      <c r="AS277" s="1160"/>
      <c r="AT277" s="1160"/>
      <c r="AU277" s="1160"/>
      <c r="AV277" s="1160"/>
      <c r="AW277" s="1160"/>
      <c r="AX277" s="1160"/>
      <c r="AY277" s="1160"/>
      <c r="AZ277" s="1160"/>
      <c r="BA277" s="1160"/>
      <c r="BB277" s="1160"/>
      <c r="BC277" s="1160"/>
      <c r="BD277" s="1160"/>
      <c r="BE277" s="1160"/>
      <c r="BF277" s="1160"/>
      <c r="BG277" s="1160"/>
      <c r="BH277" s="1160"/>
    </row>
    <row r="278" spans="2:60" s="739" customFormat="1" x14ac:dyDescent="0.2">
      <c r="B278" s="1607"/>
      <c r="C278" s="1607"/>
      <c r="D278" s="1607"/>
      <c r="E278" s="1607"/>
      <c r="F278" s="1607"/>
      <c r="G278" s="1607"/>
      <c r="H278" s="1607"/>
      <c r="I278" s="1607"/>
      <c r="J278" s="1607"/>
      <c r="K278" s="1607"/>
      <c r="L278" s="1607"/>
      <c r="M278" s="1607"/>
      <c r="N278" s="1607"/>
      <c r="O278" s="1607"/>
      <c r="P278" s="1607"/>
      <c r="Q278" s="1607"/>
      <c r="R278" s="1607"/>
      <c r="S278" s="1607"/>
      <c r="T278" s="1607"/>
      <c r="U278" s="1607"/>
      <c r="V278" s="853"/>
      <c r="W278" s="853"/>
      <c r="X278" s="853"/>
      <c r="AC278" s="853"/>
      <c r="AD278" s="853"/>
      <c r="AE278" s="853"/>
      <c r="AF278" s="853"/>
      <c r="AG278" s="853"/>
      <c r="AH278" s="853"/>
      <c r="AI278" s="853"/>
      <c r="AJ278" s="853"/>
      <c r="AK278" s="853"/>
      <c r="AL278" s="1160"/>
      <c r="AM278" s="1160"/>
      <c r="AN278" s="1160"/>
      <c r="AO278" s="1160"/>
      <c r="AP278" s="1160"/>
      <c r="AQ278" s="1160"/>
      <c r="AR278" s="1160"/>
      <c r="AS278" s="1160"/>
      <c r="AT278" s="1160"/>
      <c r="AU278" s="1160"/>
      <c r="AV278" s="1160"/>
      <c r="AW278" s="1160"/>
      <c r="AX278" s="1160"/>
      <c r="AY278" s="1160"/>
      <c r="AZ278" s="1160"/>
      <c r="BA278" s="1160"/>
      <c r="BB278" s="1160"/>
      <c r="BC278" s="1160"/>
      <c r="BD278" s="1160"/>
      <c r="BE278" s="1160"/>
      <c r="BF278" s="1160"/>
      <c r="BG278" s="1160"/>
      <c r="BH278" s="1160"/>
    </row>
    <row r="279" spans="2:60" s="739" customFormat="1" x14ac:dyDescent="0.2">
      <c r="B279" s="937"/>
      <c r="C279" s="937"/>
      <c r="D279" s="937"/>
      <c r="E279" s="937"/>
      <c r="F279" s="937"/>
      <c r="G279" s="937"/>
      <c r="H279" s="937"/>
      <c r="I279" s="937"/>
      <c r="J279" s="937"/>
      <c r="K279" s="937"/>
      <c r="L279" s="937"/>
      <c r="M279" s="937"/>
      <c r="N279" s="937"/>
      <c r="O279" s="937"/>
      <c r="P279" s="937"/>
      <c r="Q279" s="937"/>
      <c r="R279" s="937"/>
      <c r="S279" s="937"/>
      <c r="T279" s="937"/>
      <c r="U279" s="937"/>
      <c r="V279" s="853"/>
      <c r="W279" s="853"/>
      <c r="X279" s="853"/>
      <c r="AD279" s="1160"/>
      <c r="AE279" s="1160"/>
      <c r="AF279" s="1160"/>
      <c r="AG279" s="1160"/>
      <c r="AH279" s="1160"/>
      <c r="AI279" s="1160"/>
      <c r="AJ279" s="1160"/>
      <c r="AK279" s="1160"/>
      <c r="AL279" s="1160"/>
      <c r="AM279" s="1160"/>
      <c r="AN279" s="1160"/>
      <c r="AO279" s="1160"/>
      <c r="AP279" s="1160"/>
      <c r="AQ279" s="1160"/>
      <c r="AR279" s="1160"/>
      <c r="AS279" s="1160"/>
      <c r="AT279" s="1160"/>
      <c r="AU279" s="1160"/>
      <c r="AV279" s="1160"/>
      <c r="AW279" s="1160"/>
      <c r="AX279" s="1160"/>
      <c r="AY279" s="1160"/>
      <c r="AZ279" s="1160"/>
    </row>
    <row r="280" spans="2:60" s="739" customFormat="1" x14ac:dyDescent="0.2">
      <c r="B280" s="937"/>
      <c r="C280" s="937"/>
      <c r="D280" s="937"/>
      <c r="E280" s="937"/>
      <c r="F280" s="937"/>
      <c r="G280" s="937"/>
      <c r="H280" s="937"/>
      <c r="I280" s="937"/>
      <c r="J280" s="937"/>
      <c r="K280" s="937"/>
      <c r="L280" s="937"/>
      <c r="M280" s="937"/>
      <c r="N280" s="937"/>
      <c r="O280" s="937"/>
      <c r="P280" s="937"/>
      <c r="Q280" s="937"/>
      <c r="R280" s="937"/>
      <c r="S280" s="937"/>
      <c r="T280" s="937"/>
      <c r="U280" s="937"/>
      <c r="V280" s="853"/>
      <c r="W280" s="853"/>
      <c r="X280" s="853"/>
      <c r="AD280" s="1160"/>
      <c r="AE280" s="1160"/>
      <c r="AF280" s="1160"/>
      <c r="AG280" s="1160"/>
      <c r="AH280" s="1160"/>
      <c r="AI280" s="1160"/>
      <c r="AJ280" s="1160"/>
      <c r="AK280" s="1160"/>
      <c r="AL280" s="1160"/>
      <c r="AM280" s="1160"/>
      <c r="AN280" s="1160"/>
      <c r="AO280" s="1160"/>
      <c r="AP280" s="1160"/>
      <c r="AQ280" s="1160"/>
      <c r="AR280" s="1160"/>
      <c r="AS280" s="1160"/>
      <c r="AT280" s="1160"/>
      <c r="AU280" s="1160"/>
      <c r="AV280" s="1160"/>
      <c r="AW280" s="1160"/>
      <c r="AX280" s="1160"/>
      <c r="AY280" s="1160"/>
      <c r="AZ280" s="1160"/>
    </row>
    <row r="281" spans="2:60" s="739" customFormat="1" x14ac:dyDescent="0.2">
      <c r="B281" s="937"/>
      <c r="C281" s="937"/>
      <c r="D281" s="937"/>
      <c r="E281" s="937"/>
      <c r="F281" s="937"/>
      <c r="G281" s="937"/>
      <c r="H281" s="937"/>
      <c r="I281" s="937"/>
      <c r="J281" s="937"/>
      <c r="K281" s="937"/>
      <c r="L281" s="937"/>
      <c r="M281" s="937"/>
      <c r="N281" s="937"/>
      <c r="O281" s="937"/>
      <c r="P281" s="937"/>
      <c r="Q281" s="937"/>
      <c r="R281" s="937"/>
      <c r="S281" s="937"/>
      <c r="T281" s="937"/>
      <c r="U281" s="937"/>
      <c r="V281" s="853"/>
      <c r="W281" s="853"/>
      <c r="X281" s="853"/>
      <c r="AC281" s="1605"/>
      <c r="AD281" s="1160"/>
      <c r="AE281" s="1160"/>
      <c r="AF281" s="1160"/>
      <c r="AG281" s="1160"/>
      <c r="AH281" s="1160"/>
      <c r="AI281" s="1160"/>
      <c r="AJ281" s="1160"/>
      <c r="AK281" s="1160"/>
      <c r="AL281" s="1160"/>
      <c r="AM281" s="1160"/>
      <c r="AN281" s="1160"/>
      <c r="AO281" s="1160"/>
      <c r="AP281" s="1160"/>
      <c r="AQ281" s="1160"/>
      <c r="AR281" s="1160"/>
      <c r="AS281" s="1160"/>
      <c r="AT281" s="1160"/>
      <c r="AU281" s="1160"/>
      <c r="AV281" s="1160"/>
      <c r="AW281" s="1160"/>
      <c r="AX281" s="1160"/>
      <c r="AY281" s="1160"/>
      <c r="AZ281" s="1160"/>
    </row>
    <row r="282" spans="2:60" s="739" customFormat="1" x14ac:dyDescent="0.2">
      <c r="B282" s="937"/>
      <c r="C282" s="937"/>
      <c r="D282" s="937"/>
      <c r="E282" s="937"/>
      <c r="F282" s="937"/>
      <c r="G282" s="937"/>
      <c r="H282" s="937"/>
      <c r="I282" s="937"/>
      <c r="J282" s="937"/>
      <c r="K282" s="937"/>
      <c r="L282" s="937"/>
      <c r="M282" s="937"/>
      <c r="N282" s="937"/>
      <c r="O282" s="937"/>
      <c r="P282" s="937"/>
      <c r="Q282" s="937"/>
      <c r="R282" s="937"/>
      <c r="S282" s="937"/>
      <c r="T282" s="937"/>
      <c r="U282" s="937"/>
      <c r="V282" s="853"/>
      <c r="W282" s="853"/>
      <c r="X282" s="853"/>
      <c r="AD282" s="1160"/>
      <c r="AE282" s="1160"/>
      <c r="AF282" s="1160"/>
      <c r="AG282" s="1160"/>
      <c r="AH282" s="1160"/>
      <c r="AI282" s="1160"/>
      <c r="AJ282" s="1160"/>
      <c r="AK282" s="1160"/>
      <c r="AL282" s="1160"/>
      <c r="AM282" s="1160"/>
      <c r="AN282" s="1160"/>
      <c r="AO282" s="1160"/>
      <c r="AP282" s="1160"/>
      <c r="AQ282" s="1160"/>
      <c r="AR282" s="1160"/>
      <c r="AS282" s="1160"/>
      <c r="AT282" s="1160"/>
      <c r="AU282" s="1160"/>
      <c r="AV282" s="1160"/>
      <c r="AW282" s="1160"/>
      <c r="AX282" s="1160"/>
      <c r="AY282" s="1160"/>
      <c r="AZ282" s="1160"/>
    </row>
    <row r="283" spans="2:60" s="739" customFormat="1" x14ac:dyDescent="0.2">
      <c r="B283" s="937"/>
      <c r="C283" s="937"/>
      <c r="D283" s="937"/>
      <c r="E283" s="937"/>
      <c r="F283" s="937"/>
      <c r="G283" s="937"/>
      <c r="H283" s="937"/>
      <c r="I283" s="937"/>
      <c r="J283" s="937"/>
      <c r="K283" s="937"/>
      <c r="L283" s="937"/>
      <c r="M283" s="937"/>
      <c r="N283" s="937"/>
      <c r="O283" s="937"/>
      <c r="P283" s="937"/>
      <c r="Q283" s="937"/>
      <c r="R283" s="937"/>
      <c r="S283" s="937"/>
      <c r="T283" s="937"/>
      <c r="U283" s="937"/>
      <c r="V283" s="853"/>
      <c r="W283" s="853"/>
      <c r="X283" s="853"/>
      <c r="AD283" s="1160"/>
      <c r="AE283" s="1160"/>
      <c r="AF283" s="1160"/>
      <c r="AG283" s="1160"/>
      <c r="AH283" s="1160"/>
      <c r="AI283" s="1160"/>
      <c r="AJ283" s="1160"/>
      <c r="AK283" s="1160"/>
      <c r="AL283" s="1160"/>
      <c r="AM283" s="1160"/>
      <c r="AN283" s="1160"/>
      <c r="AO283" s="1160"/>
      <c r="AP283" s="1160"/>
      <c r="AQ283" s="1160"/>
      <c r="AR283" s="1160"/>
      <c r="AS283" s="1160"/>
      <c r="AT283" s="1160"/>
      <c r="AU283" s="1160"/>
      <c r="AV283" s="1160"/>
      <c r="AW283" s="1160"/>
      <c r="AX283" s="1160"/>
      <c r="AY283" s="1160"/>
      <c r="AZ283" s="1160"/>
    </row>
    <row r="284" spans="2:60" s="739" customFormat="1" x14ac:dyDescent="0.2">
      <c r="B284" s="937"/>
      <c r="C284" s="937"/>
      <c r="D284" s="937"/>
      <c r="E284" s="937"/>
      <c r="F284" s="937"/>
      <c r="G284" s="937"/>
      <c r="H284" s="937"/>
      <c r="I284" s="937"/>
      <c r="J284" s="937"/>
      <c r="K284" s="937"/>
      <c r="L284" s="937"/>
      <c r="M284" s="937"/>
      <c r="N284" s="937"/>
      <c r="O284" s="937"/>
      <c r="P284" s="937"/>
      <c r="Q284" s="937"/>
      <c r="R284" s="937"/>
      <c r="S284" s="937"/>
      <c r="T284" s="937"/>
      <c r="U284" s="937"/>
      <c r="V284" s="853"/>
      <c r="W284" s="853"/>
      <c r="X284" s="853"/>
      <c r="AD284" s="1160"/>
      <c r="AE284" s="1160"/>
      <c r="AF284" s="1160"/>
      <c r="AG284" s="1160"/>
      <c r="AH284" s="1160"/>
      <c r="AI284" s="1160"/>
      <c r="AJ284" s="1160"/>
      <c r="AK284" s="1160"/>
      <c r="AL284" s="1160"/>
      <c r="AM284" s="1160"/>
      <c r="AN284" s="1160"/>
      <c r="AO284" s="1160"/>
      <c r="AP284" s="1160"/>
      <c r="AQ284" s="1160"/>
      <c r="AR284" s="1160"/>
      <c r="AS284" s="1160"/>
      <c r="AT284" s="1160"/>
      <c r="AU284" s="1160"/>
      <c r="AV284" s="1160"/>
      <c r="AW284" s="1160"/>
      <c r="AX284" s="1160"/>
      <c r="AY284" s="1160"/>
      <c r="AZ284" s="1160"/>
    </row>
    <row r="285" spans="2:60" s="739" customFormat="1" x14ac:dyDescent="0.2">
      <c r="B285" s="937"/>
      <c r="C285" s="937"/>
      <c r="D285" s="937"/>
      <c r="E285" s="937"/>
      <c r="F285" s="937"/>
      <c r="G285" s="937"/>
      <c r="H285" s="937"/>
      <c r="I285" s="937"/>
      <c r="J285" s="937"/>
      <c r="K285" s="937"/>
      <c r="L285" s="937"/>
      <c r="M285" s="937"/>
      <c r="N285" s="937"/>
      <c r="O285" s="937"/>
      <c r="P285" s="937"/>
      <c r="Q285" s="937"/>
      <c r="R285" s="937"/>
      <c r="S285" s="937"/>
      <c r="T285" s="937"/>
      <c r="U285" s="937"/>
      <c r="V285" s="853"/>
      <c r="W285" s="853"/>
      <c r="X285" s="853"/>
      <c r="AD285" s="1160"/>
      <c r="AE285" s="1160"/>
      <c r="AF285" s="1160"/>
      <c r="AG285" s="1160"/>
      <c r="AH285" s="1160"/>
      <c r="AI285" s="1160"/>
      <c r="AJ285" s="1160"/>
      <c r="AK285" s="1160"/>
      <c r="AL285" s="1160"/>
      <c r="AM285" s="1160"/>
      <c r="AN285" s="1160"/>
      <c r="AO285" s="1160"/>
      <c r="AP285" s="1160"/>
      <c r="AQ285" s="1160"/>
      <c r="AR285" s="1160"/>
      <c r="AS285" s="1160"/>
      <c r="AT285" s="1160"/>
      <c r="AU285" s="1160"/>
      <c r="AV285" s="1160"/>
      <c r="AW285" s="1160"/>
      <c r="AX285" s="1160"/>
      <c r="AY285" s="1160"/>
      <c r="AZ285" s="1160"/>
    </row>
    <row r="286" spans="2:60" s="739" customFormat="1" x14ac:dyDescent="0.2">
      <c r="B286" s="937"/>
      <c r="C286" s="937"/>
      <c r="D286" s="937"/>
      <c r="E286" s="937"/>
      <c r="F286" s="937"/>
      <c r="G286" s="937"/>
      <c r="H286" s="937"/>
      <c r="I286" s="937"/>
      <c r="J286" s="937"/>
      <c r="K286" s="937"/>
      <c r="L286" s="937"/>
      <c r="M286" s="937"/>
      <c r="N286" s="937"/>
      <c r="O286" s="937"/>
      <c r="P286" s="937"/>
      <c r="Q286" s="937"/>
      <c r="R286" s="937"/>
      <c r="S286" s="937"/>
      <c r="T286" s="937"/>
      <c r="U286" s="937"/>
      <c r="V286" s="853"/>
      <c r="W286" s="853"/>
      <c r="X286" s="853"/>
      <c r="AD286" s="1160"/>
      <c r="AE286" s="1160"/>
      <c r="AF286" s="1160"/>
      <c r="AG286" s="1160"/>
      <c r="AH286" s="1160"/>
      <c r="AI286" s="1160"/>
      <c r="AJ286" s="1160"/>
      <c r="AK286" s="1160"/>
      <c r="AL286" s="1160"/>
      <c r="AM286" s="1160"/>
      <c r="AN286" s="1160"/>
      <c r="AO286" s="1160"/>
      <c r="AP286" s="1160"/>
      <c r="AQ286" s="1160"/>
      <c r="AR286" s="1160"/>
      <c r="AS286" s="1160"/>
      <c r="AT286" s="1160"/>
      <c r="AU286" s="1160"/>
      <c r="AV286" s="1160"/>
      <c r="AW286" s="1160"/>
      <c r="AX286" s="1160"/>
      <c r="AY286" s="1160"/>
      <c r="AZ286" s="1160"/>
    </row>
    <row r="287" spans="2:60" s="739" customFormat="1" x14ac:dyDescent="0.2">
      <c r="B287" s="937"/>
      <c r="C287" s="937"/>
      <c r="D287" s="937"/>
      <c r="E287" s="937"/>
      <c r="F287" s="937"/>
      <c r="G287" s="937"/>
      <c r="H287" s="937"/>
      <c r="I287" s="937"/>
      <c r="J287" s="937"/>
      <c r="K287" s="937"/>
      <c r="L287" s="937"/>
      <c r="M287" s="937"/>
      <c r="N287" s="937"/>
      <c r="O287" s="937"/>
      <c r="P287" s="937"/>
      <c r="Q287" s="937"/>
      <c r="R287" s="937"/>
      <c r="S287" s="937"/>
      <c r="T287" s="937"/>
      <c r="U287" s="937"/>
      <c r="V287" s="853"/>
      <c r="W287" s="853"/>
      <c r="X287" s="853"/>
      <c r="AD287" s="1160"/>
      <c r="AE287" s="1160"/>
      <c r="AF287" s="1160"/>
      <c r="AG287" s="1160"/>
      <c r="AH287" s="1160"/>
      <c r="AI287" s="1160"/>
      <c r="AJ287" s="1160"/>
      <c r="AK287" s="1160"/>
      <c r="AL287" s="1160"/>
      <c r="AM287" s="1160"/>
      <c r="AN287" s="1160"/>
      <c r="AO287" s="1160"/>
      <c r="AP287" s="1160"/>
      <c r="AQ287" s="1160"/>
      <c r="AR287" s="1160"/>
      <c r="AS287" s="1160"/>
      <c r="AT287" s="1160"/>
      <c r="AU287" s="1160"/>
      <c r="AV287" s="1160"/>
      <c r="AW287" s="1160"/>
      <c r="AX287" s="1160"/>
      <c r="AY287" s="1160"/>
      <c r="AZ287" s="1160"/>
    </row>
    <row r="288" spans="2:60" s="739" customFormat="1" x14ac:dyDescent="0.2">
      <c r="B288" s="937"/>
      <c r="C288" s="937"/>
      <c r="D288" s="937"/>
      <c r="E288" s="937"/>
      <c r="F288" s="937"/>
      <c r="G288" s="937"/>
      <c r="H288" s="937"/>
      <c r="I288" s="937"/>
      <c r="J288" s="937"/>
      <c r="K288" s="937"/>
      <c r="L288" s="937"/>
      <c r="M288" s="937"/>
      <c r="N288" s="937"/>
      <c r="O288" s="937"/>
      <c r="P288" s="937"/>
      <c r="Q288" s="937"/>
      <c r="R288" s="937"/>
      <c r="S288" s="937"/>
      <c r="T288" s="937"/>
      <c r="U288" s="937"/>
      <c r="V288" s="853"/>
      <c r="W288" s="853"/>
      <c r="X288" s="853"/>
      <c r="AD288" s="1160"/>
      <c r="AE288" s="1160"/>
      <c r="AF288" s="1160"/>
      <c r="AG288" s="1160"/>
      <c r="AH288" s="1160"/>
      <c r="AI288" s="1160"/>
      <c r="AJ288" s="1160"/>
      <c r="AK288" s="1160"/>
      <c r="AL288" s="1160"/>
      <c r="AM288" s="1160"/>
      <c r="AN288" s="1160"/>
      <c r="AO288" s="1160"/>
      <c r="AP288" s="1160"/>
      <c r="AQ288" s="1160"/>
      <c r="AR288" s="1160"/>
      <c r="AS288" s="1160"/>
      <c r="AT288" s="1160"/>
      <c r="AU288" s="1160"/>
      <c r="AV288" s="1160"/>
      <c r="AW288" s="1160"/>
      <c r="AX288" s="1160"/>
      <c r="AY288" s="1160"/>
      <c r="AZ288" s="1160"/>
    </row>
    <row r="289" spans="2:52" s="739" customFormat="1" x14ac:dyDescent="0.2">
      <c r="B289" s="937"/>
      <c r="C289" s="937"/>
      <c r="D289" s="937"/>
      <c r="E289" s="937"/>
      <c r="F289" s="937"/>
      <c r="G289" s="937"/>
      <c r="H289" s="937"/>
      <c r="I289" s="937"/>
      <c r="J289" s="937"/>
      <c r="K289" s="937"/>
      <c r="L289" s="937"/>
      <c r="M289" s="937"/>
      <c r="N289" s="937"/>
      <c r="O289" s="937"/>
      <c r="P289" s="937"/>
      <c r="Q289" s="937"/>
      <c r="R289" s="937"/>
      <c r="S289" s="937"/>
      <c r="T289" s="937"/>
      <c r="U289" s="937"/>
      <c r="V289" s="853"/>
      <c r="W289" s="853"/>
      <c r="X289" s="853"/>
      <c r="AD289" s="1160"/>
      <c r="AE289" s="1160"/>
      <c r="AF289" s="1160"/>
      <c r="AG289" s="1160"/>
      <c r="AH289" s="1160"/>
      <c r="AI289" s="1160"/>
      <c r="AJ289" s="1160"/>
      <c r="AK289" s="1160"/>
      <c r="AL289" s="1160"/>
      <c r="AM289" s="1160"/>
      <c r="AN289" s="1160"/>
      <c r="AO289" s="1160"/>
      <c r="AP289" s="1160"/>
      <c r="AQ289" s="1160"/>
      <c r="AR289" s="1160"/>
      <c r="AS289" s="1160"/>
      <c r="AT289" s="1160"/>
      <c r="AU289" s="1160"/>
      <c r="AV289" s="1160"/>
      <c r="AW289" s="1160"/>
      <c r="AX289" s="1160"/>
      <c r="AY289" s="1160"/>
      <c r="AZ289" s="1160"/>
    </row>
    <row r="290" spans="2:52" s="739" customFormat="1" x14ac:dyDescent="0.2">
      <c r="B290" s="937"/>
      <c r="C290" s="937"/>
      <c r="D290" s="937"/>
      <c r="E290" s="937"/>
      <c r="F290" s="937"/>
      <c r="G290" s="937"/>
      <c r="H290" s="937"/>
      <c r="I290" s="937"/>
      <c r="J290" s="937"/>
      <c r="K290" s="937"/>
      <c r="L290" s="937"/>
      <c r="M290" s="937"/>
      <c r="N290" s="937"/>
      <c r="O290" s="937"/>
      <c r="P290" s="937"/>
      <c r="Q290" s="937"/>
      <c r="R290" s="937"/>
      <c r="S290" s="937"/>
      <c r="T290" s="937"/>
      <c r="U290" s="937"/>
      <c r="V290" s="853"/>
      <c r="W290" s="853"/>
      <c r="X290" s="853"/>
      <c r="AD290" s="1160"/>
      <c r="AE290" s="1160"/>
      <c r="AF290" s="1160"/>
      <c r="AG290" s="1160"/>
      <c r="AH290" s="1160"/>
      <c r="AI290" s="1160"/>
      <c r="AJ290" s="1160"/>
      <c r="AK290" s="1160"/>
      <c r="AL290" s="1160"/>
      <c r="AM290" s="1160"/>
      <c r="AN290" s="1160"/>
      <c r="AO290" s="1160"/>
      <c r="AP290" s="1160"/>
      <c r="AQ290" s="1160"/>
      <c r="AR290" s="1160"/>
      <c r="AS290" s="1160"/>
      <c r="AT290" s="1160"/>
      <c r="AU290" s="1160"/>
      <c r="AV290" s="1160"/>
      <c r="AW290" s="1160"/>
      <c r="AX290" s="1160"/>
      <c r="AY290" s="1160"/>
      <c r="AZ290" s="1160"/>
    </row>
    <row r="291" spans="2:52" s="739" customFormat="1" x14ac:dyDescent="0.2">
      <c r="B291" s="937"/>
      <c r="C291" s="937"/>
      <c r="D291" s="937"/>
      <c r="E291" s="937"/>
      <c r="F291" s="937"/>
      <c r="G291" s="937"/>
      <c r="H291" s="937"/>
      <c r="I291" s="937"/>
      <c r="J291" s="937"/>
      <c r="K291" s="937"/>
      <c r="L291" s="937"/>
      <c r="M291" s="937"/>
      <c r="N291" s="937"/>
      <c r="O291" s="937"/>
      <c r="P291" s="937"/>
      <c r="Q291" s="937"/>
      <c r="R291" s="937"/>
      <c r="S291" s="937"/>
      <c r="T291" s="937"/>
      <c r="U291" s="937"/>
      <c r="V291" s="853"/>
      <c r="W291" s="853"/>
      <c r="X291" s="853"/>
      <c r="AC291" s="1605"/>
      <c r="AD291" s="1160"/>
      <c r="AE291" s="1160"/>
      <c r="AF291" s="1160"/>
      <c r="AG291" s="1160"/>
      <c r="AH291" s="1160"/>
      <c r="AI291" s="1160"/>
      <c r="AJ291" s="1160"/>
      <c r="AK291" s="1160"/>
      <c r="AL291" s="1160"/>
      <c r="AM291" s="1160"/>
      <c r="AN291" s="1160"/>
      <c r="AO291" s="1160"/>
      <c r="AP291" s="1160"/>
      <c r="AQ291" s="1160"/>
      <c r="AR291" s="1160"/>
      <c r="AS291" s="1160"/>
      <c r="AT291" s="1160"/>
      <c r="AU291" s="1160"/>
      <c r="AV291" s="1160"/>
      <c r="AW291" s="1160"/>
      <c r="AX291" s="1160"/>
      <c r="AY291" s="1160"/>
      <c r="AZ291" s="1160"/>
    </row>
    <row r="292" spans="2:52" s="739" customFormat="1" x14ac:dyDescent="0.2">
      <c r="B292" s="937"/>
      <c r="C292" s="937"/>
      <c r="D292" s="937"/>
      <c r="E292" s="937"/>
      <c r="F292" s="937"/>
      <c r="G292" s="937"/>
      <c r="H292" s="937"/>
      <c r="I292" s="937"/>
      <c r="J292" s="937"/>
      <c r="K292" s="937"/>
      <c r="L292" s="937"/>
      <c r="M292" s="937"/>
      <c r="N292" s="937"/>
      <c r="O292" s="937"/>
      <c r="P292" s="937"/>
      <c r="Q292" s="937"/>
      <c r="R292" s="937"/>
      <c r="S292" s="937"/>
      <c r="T292" s="937"/>
      <c r="U292" s="937"/>
      <c r="V292" s="853"/>
      <c r="W292" s="853"/>
      <c r="X292" s="853"/>
      <c r="AD292" s="1160"/>
      <c r="AE292" s="1160"/>
      <c r="AF292" s="1160"/>
      <c r="AG292" s="1160"/>
      <c r="AH292" s="1160"/>
      <c r="AI292" s="1160"/>
      <c r="AJ292" s="1160"/>
      <c r="AK292" s="1160"/>
      <c r="AL292" s="1160"/>
      <c r="AM292" s="1160"/>
      <c r="AN292" s="1160"/>
      <c r="AO292" s="1160"/>
      <c r="AP292" s="1160"/>
      <c r="AQ292" s="1160"/>
      <c r="AR292" s="1160"/>
      <c r="AS292" s="1160"/>
      <c r="AT292" s="1160"/>
      <c r="AU292" s="1160"/>
      <c r="AV292" s="1160"/>
      <c r="AW292" s="1160"/>
      <c r="AX292" s="1160"/>
      <c r="AY292" s="1160"/>
      <c r="AZ292" s="1160"/>
    </row>
    <row r="293" spans="2:52" s="739" customFormat="1" x14ac:dyDescent="0.2">
      <c r="B293" s="937"/>
      <c r="C293" s="937"/>
      <c r="D293" s="937"/>
      <c r="E293" s="937"/>
      <c r="F293" s="937"/>
      <c r="G293" s="937"/>
      <c r="H293" s="937"/>
      <c r="I293" s="937"/>
      <c r="J293" s="937"/>
      <c r="K293" s="937"/>
      <c r="L293" s="937"/>
      <c r="M293" s="937"/>
      <c r="N293" s="937"/>
      <c r="O293" s="937"/>
      <c r="P293" s="937"/>
      <c r="Q293" s="937"/>
      <c r="R293" s="937"/>
      <c r="S293" s="937"/>
      <c r="T293" s="937"/>
      <c r="U293" s="937"/>
      <c r="V293" s="853"/>
      <c r="W293" s="853"/>
      <c r="X293" s="853"/>
      <c r="AD293" s="1160"/>
      <c r="AE293" s="1160"/>
      <c r="AF293" s="1160"/>
      <c r="AG293" s="1160"/>
      <c r="AH293" s="1160"/>
      <c r="AI293" s="1160"/>
      <c r="AJ293" s="1160"/>
      <c r="AK293" s="1160"/>
      <c r="AL293" s="1160"/>
      <c r="AM293" s="1160"/>
      <c r="AN293" s="1160"/>
      <c r="AO293" s="1160"/>
      <c r="AP293" s="1160"/>
      <c r="AQ293" s="1160"/>
      <c r="AR293" s="1160"/>
      <c r="AS293" s="1160"/>
      <c r="AT293" s="1160"/>
      <c r="AU293" s="1160"/>
      <c r="AV293" s="1160"/>
      <c r="AW293" s="1160"/>
      <c r="AX293" s="1160"/>
      <c r="AY293" s="1160"/>
      <c r="AZ293" s="1160"/>
    </row>
    <row r="294" spans="2:52" s="739" customFormat="1" x14ac:dyDescent="0.2">
      <c r="D294" s="1060"/>
      <c r="E294" s="1060"/>
      <c r="F294" s="740"/>
      <c r="G294" s="740"/>
      <c r="H294" s="853"/>
      <c r="I294" s="853"/>
      <c r="J294" s="853"/>
      <c r="K294" s="853"/>
      <c r="L294" s="853"/>
      <c r="M294" s="853"/>
      <c r="N294" s="853"/>
      <c r="V294" s="853"/>
      <c r="W294" s="853"/>
      <c r="X294" s="853"/>
      <c r="AD294" s="1160"/>
      <c r="AE294" s="1160"/>
      <c r="AF294" s="1160"/>
      <c r="AG294" s="1160"/>
      <c r="AH294" s="1160"/>
      <c r="AI294" s="1160"/>
      <c r="AJ294" s="1160"/>
      <c r="AK294" s="1160"/>
      <c r="AL294" s="1160"/>
      <c r="AM294" s="1160"/>
      <c r="AN294" s="1160"/>
      <c r="AO294" s="1160"/>
      <c r="AP294" s="1160"/>
      <c r="AQ294" s="1160"/>
      <c r="AR294" s="1160"/>
      <c r="AS294" s="1160"/>
      <c r="AT294" s="1160"/>
      <c r="AU294" s="1160"/>
      <c r="AV294" s="1160"/>
      <c r="AW294" s="1160"/>
      <c r="AX294" s="1160"/>
      <c r="AY294" s="1160"/>
      <c r="AZ294" s="1160"/>
    </row>
    <row r="295" spans="2:52" s="739" customFormat="1" x14ac:dyDescent="0.2">
      <c r="D295" s="1060"/>
      <c r="E295" s="1060"/>
      <c r="F295" s="740"/>
      <c r="G295" s="740"/>
      <c r="H295" s="853"/>
      <c r="I295" s="853"/>
      <c r="J295" s="853"/>
      <c r="K295" s="853"/>
      <c r="L295" s="853"/>
      <c r="M295" s="853"/>
      <c r="N295" s="853"/>
      <c r="V295" s="853"/>
      <c r="W295" s="853"/>
      <c r="X295" s="853"/>
      <c r="AD295" s="1160"/>
      <c r="AE295" s="1160"/>
      <c r="AF295" s="1160"/>
      <c r="AG295" s="1160"/>
      <c r="AH295" s="1160"/>
      <c r="AI295" s="1160"/>
      <c r="AJ295" s="1160"/>
      <c r="AK295" s="1160"/>
      <c r="AL295" s="1160"/>
      <c r="AM295" s="1160"/>
      <c r="AN295" s="1160"/>
      <c r="AO295" s="1160"/>
      <c r="AP295" s="1160"/>
      <c r="AQ295" s="1160"/>
      <c r="AR295" s="1160"/>
      <c r="AS295" s="1160"/>
      <c r="AT295" s="1160"/>
      <c r="AU295" s="1160"/>
      <c r="AV295" s="1160"/>
      <c r="AW295" s="1160"/>
      <c r="AX295" s="1160"/>
      <c r="AY295" s="1160"/>
      <c r="AZ295" s="1160"/>
    </row>
    <row r="296" spans="2:52" s="739" customFormat="1" x14ac:dyDescent="0.2">
      <c r="D296" s="1060"/>
      <c r="E296" s="1060"/>
      <c r="F296" s="740"/>
      <c r="G296" s="740"/>
      <c r="H296" s="853"/>
      <c r="I296" s="853"/>
      <c r="J296" s="853"/>
      <c r="K296" s="853"/>
      <c r="L296" s="853"/>
      <c r="M296" s="853"/>
      <c r="N296" s="853"/>
      <c r="V296" s="853"/>
      <c r="W296" s="853"/>
      <c r="X296" s="853"/>
      <c r="AC296" s="1605"/>
      <c r="AD296" s="1160"/>
      <c r="AE296" s="1160"/>
      <c r="AF296" s="1160"/>
      <c r="AG296" s="1160"/>
      <c r="AH296" s="1160"/>
      <c r="AI296" s="1160"/>
      <c r="AJ296" s="1160"/>
      <c r="AK296" s="1160"/>
      <c r="AL296" s="1160"/>
      <c r="AM296" s="1160"/>
      <c r="AN296" s="1160"/>
      <c r="AO296" s="1160"/>
      <c r="AP296" s="1160"/>
      <c r="AQ296" s="1160"/>
      <c r="AR296" s="1160"/>
      <c r="AS296" s="1160"/>
      <c r="AT296" s="1160"/>
      <c r="AU296" s="1160"/>
      <c r="AV296" s="1160"/>
      <c r="AW296" s="1160"/>
      <c r="AX296" s="1160"/>
      <c r="AY296" s="1160"/>
      <c r="AZ296" s="1160"/>
    </row>
    <row r="297" spans="2:52" s="739" customFormat="1" x14ac:dyDescent="0.2">
      <c r="D297" s="1060"/>
      <c r="E297" s="1060"/>
      <c r="F297" s="740"/>
      <c r="G297" s="740"/>
      <c r="H297" s="853"/>
      <c r="I297" s="853"/>
      <c r="J297" s="853"/>
      <c r="K297" s="853"/>
      <c r="L297" s="853"/>
      <c r="M297" s="853"/>
      <c r="N297" s="853"/>
      <c r="V297" s="853"/>
      <c r="W297" s="853"/>
      <c r="X297" s="853"/>
      <c r="AD297" s="1160"/>
      <c r="AE297" s="1160"/>
      <c r="AF297" s="1160"/>
      <c r="AG297" s="1160"/>
      <c r="AH297" s="1160"/>
      <c r="AI297" s="1160"/>
      <c r="AJ297" s="1160"/>
      <c r="AK297" s="1160"/>
      <c r="AL297" s="1160"/>
      <c r="AM297" s="1160"/>
      <c r="AN297" s="1160"/>
      <c r="AO297" s="1160"/>
      <c r="AP297" s="1160"/>
      <c r="AQ297" s="1160"/>
      <c r="AR297" s="1160"/>
      <c r="AS297" s="1160"/>
      <c r="AT297" s="1160"/>
      <c r="AU297" s="1160"/>
      <c r="AV297" s="1160"/>
      <c r="AW297" s="1160"/>
      <c r="AX297" s="1160"/>
      <c r="AY297" s="1160"/>
      <c r="AZ297" s="1160"/>
    </row>
    <row r="298" spans="2:52" s="739" customFormat="1" x14ac:dyDescent="0.2">
      <c r="D298" s="1060"/>
      <c r="E298" s="1060"/>
      <c r="F298" s="740"/>
      <c r="G298" s="740"/>
      <c r="H298" s="853"/>
      <c r="I298" s="853"/>
      <c r="J298" s="853"/>
      <c r="K298" s="853"/>
      <c r="L298" s="853"/>
      <c r="M298" s="853"/>
      <c r="N298" s="853"/>
      <c r="V298" s="853"/>
      <c r="W298" s="853"/>
      <c r="X298" s="853"/>
      <c r="AD298" s="1160"/>
      <c r="AE298" s="1160"/>
      <c r="AF298" s="1160"/>
      <c r="AG298" s="1160"/>
      <c r="AH298" s="1160"/>
      <c r="AI298" s="1160"/>
      <c r="AJ298" s="1160"/>
      <c r="AK298" s="1160"/>
      <c r="AL298" s="1160"/>
      <c r="AM298" s="1160"/>
      <c r="AN298" s="1160"/>
      <c r="AO298" s="1160"/>
      <c r="AP298" s="1160"/>
      <c r="AQ298" s="1160"/>
      <c r="AR298" s="1160"/>
      <c r="AS298" s="1160"/>
      <c r="AT298" s="1160"/>
      <c r="AU298" s="1160"/>
      <c r="AV298" s="1160"/>
      <c r="AW298" s="1160"/>
      <c r="AX298" s="1160"/>
      <c r="AY298" s="1160"/>
      <c r="AZ298" s="1160"/>
    </row>
    <row r="299" spans="2:52" s="739" customFormat="1" x14ac:dyDescent="0.2">
      <c r="D299" s="1060"/>
      <c r="E299" s="1060"/>
      <c r="F299" s="740"/>
      <c r="G299" s="740"/>
      <c r="H299" s="853"/>
      <c r="I299" s="853"/>
      <c r="J299" s="853"/>
      <c r="K299" s="853"/>
      <c r="L299" s="853"/>
      <c r="M299" s="853"/>
      <c r="N299" s="853"/>
      <c r="V299" s="853"/>
      <c r="W299" s="853"/>
      <c r="X299" s="853"/>
      <c r="AD299" s="1160"/>
      <c r="AE299" s="1160"/>
      <c r="AF299" s="1160"/>
      <c r="AG299" s="1160"/>
      <c r="AH299" s="1160"/>
      <c r="AI299" s="1160"/>
      <c r="AJ299" s="1160"/>
      <c r="AK299" s="1160"/>
      <c r="AL299" s="1160"/>
      <c r="AM299" s="1160"/>
      <c r="AN299" s="1160"/>
      <c r="AO299" s="1160"/>
      <c r="AP299" s="1160"/>
      <c r="AQ299" s="1160"/>
      <c r="AR299" s="1160"/>
      <c r="AS299" s="1160"/>
      <c r="AT299" s="1160"/>
      <c r="AU299" s="1160"/>
      <c r="AV299" s="1160"/>
      <c r="AW299" s="1160"/>
      <c r="AX299" s="1160"/>
      <c r="AY299" s="1160"/>
      <c r="AZ299" s="1160"/>
    </row>
    <row r="300" spans="2:52" s="739" customFormat="1" x14ac:dyDescent="0.2">
      <c r="D300" s="1060"/>
      <c r="E300" s="1060"/>
      <c r="F300" s="740"/>
      <c r="G300" s="740"/>
      <c r="H300" s="853"/>
      <c r="I300" s="853"/>
      <c r="J300" s="853"/>
      <c r="K300" s="853"/>
      <c r="L300" s="853"/>
      <c r="M300" s="853"/>
      <c r="N300" s="853"/>
      <c r="V300" s="853"/>
      <c r="W300" s="853"/>
      <c r="X300" s="853"/>
      <c r="AD300" s="1160"/>
      <c r="AE300" s="1160"/>
      <c r="AF300" s="1160"/>
      <c r="AG300" s="1160"/>
      <c r="AH300" s="1160"/>
      <c r="AI300" s="1160"/>
      <c r="AJ300" s="1160"/>
      <c r="AK300" s="1160"/>
      <c r="AL300" s="1160"/>
      <c r="AM300" s="1160"/>
      <c r="AN300" s="1160"/>
      <c r="AO300" s="1160"/>
      <c r="AP300" s="1160"/>
      <c r="AQ300" s="1160"/>
      <c r="AR300" s="1160"/>
      <c r="AS300" s="1160"/>
      <c r="AT300" s="1160"/>
      <c r="AU300" s="1160"/>
      <c r="AV300" s="1160"/>
      <c r="AW300" s="1160"/>
      <c r="AX300" s="1160"/>
      <c r="AY300" s="1160"/>
      <c r="AZ300" s="1160"/>
    </row>
    <row r="301" spans="2:52" s="739" customFormat="1" x14ac:dyDescent="0.2">
      <c r="D301" s="1060"/>
      <c r="E301" s="1060"/>
      <c r="F301" s="740"/>
      <c r="G301" s="740"/>
      <c r="H301" s="853"/>
      <c r="I301" s="853"/>
      <c r="J301" s="853"/>
      <c r="K301" s="853"/>
      <c r="L301" s="853"/>
      <c r="M301" s="853"/>
      <c r="N301" s="853"/>
      <c r="V301" s="853"/>
      <c r="W301" s="853"/>
      <c r="X301" s="853"/>
      <c r="AC301" s="1605"/>
      <c r="AD301" s="1160"/>
      <c r="AE301" s="1160"/>
      <c r="AF301" s="1160"/>
      <c r="AG301" s="1160"/>
      <c r="AH301" s="1160"/>
      <c r="AI301" s="1160"/>
      <c r="AJ301" s="1160"/>
      <c r="AK301" s="1160"/>
      <c r="AL301" s="1160"/>
      <c r="AM301" s="1160"/>
      <c r="AN301" s="1160"/>
      <c r="AO301" s="1160"/>
      <c r="AP301" s="1160"/>
      <c r="AQ301" s="1160"/>
      <c r="AR301" s="1160"/>
      <c r="AS301" s="1160"/>
      <c r="AT301" s="1160"/>
      <c r="AU301" s="1160"/>
      <c r="AV301" s="1160"/>
      <c r="AW301" s="1160"/>
      <c r="AX301" s="1160"/>
      <c r="AY301" s="1160"/>
      <c r="AZ301" s="1160"/>
    </row>
    <row r="302" spans="2:52" s="739" customFormat="1" x14ac:dyDescent="0.2">
      <c r="D302" s="1060"/>
      <c r="E302" s="1060"/>
      <c r="F302" s="740"/>
      <c r="G302" s="740"/>
      <c r="H302" s="853"/>
      <c r="I302" s="853"/>
      <c r="J302" s="853"/>
      <c r="K302" s="853"/>
      <c r="L302" s="853"/>
      <c r="M302" s="853"/>
      <c r="N302" s="853"/>
      <c r="V302" s="853"/>
      <c r="W302" s="853"/>
      <c r="X302" s="853"/>
      <c r="AD302" s="1160"/>
      <c r="AE302" s="1160"/>
      <c r="AF302" s="1160"/>
      <c r="AG302" s="1160"/>
      <c r="AH302" s="1160"/>
      <c r="AI302" s="1160"/>
      <c r="AJ302" s="1160"/>
      <c r="AK302" s="1160"/>
      <c r="AL302" s="1160"/>
      <c r="AM302" s="1160"/>
      <c r="AN302" s="1160"/>
      <c r="AO302" s="1160"/>
      <c r="AP302" s="1160"/>
      <c r="AQ302" s="1160"/>
      <c r="AR302" s="1160"/>
      <c r="AS302" s="1160"/>
      <c r="AT302" s="1160"/>
      <c r="AU302" s="1160"/>
      <c r="AV302" s="1160"/>
      <c r="AW302" s="1160"/>
      <c r="AX302" s="1160"/>
      <c r="AY302" s="1160"/>
      <c r="AZ302" s="1160"/>
    </row>
    <row r="303" spans="2:52" s="739" customFormat="1" x14ac:dyDescent="0.2">
      <c r="D303" s="1060"/>
      <c r="E303" s="1060"/>
      <c r="F303" s="740"/>
      <c r="G303" s="740"/>
      <c r="H303" s="853"/>
      <c r="I303" s="853"/>
      <c r="J303" s="853"/>
      <c r="K303" s="853"/>
      <c r="L303" s="853"/>
      <c r="M303" s="853"/>
      <c r="N303" s="853"/>
      <c r="V303" s="853"/>
      <c r="W303" s="853"/>
      <c r="X303" s="853"/>
      <c r="AD303" s="1160"/>
      <c r="AE303" s="1160"/>
      <c r="AF303" s="1160"/>
      <c r="AG303" s="1160"/>
      <c r="AH303" s="1160"/>
      <c r="AI303" s="1160"/>
      <c r="AJ303" s="1160"/>
      <c r="AK303" s="1160"/>
      <c r="AL303" s="1160"/>
      <c r="AM303" s="1160"/>
      <c r="AN303" s="1160"/>
      <c r="AO303" s="1160"/>
      <c r="AP303" s="1160"/>
      <c r="AQ303" s="1160"/>
      <c r="AR303" s="1160"/>
      <c r="AS303" s="1160"/>
      <c r="AT303" s="1160"/>
      <c r="AU303" s="1160"/>
      <c r="AV303" s="1160"/>
      <c r="AW303" s="1160"/>
      <c r="AX303" s="1160"/>
      <c r="AY303" s="1160"/>
      <c r="AZ303" s="1160"/>
    </row>
    <row r="304" spans="2:52" s="739" customFormat="1" x14ac:dyDescent="0.2">
      <c r="D304" s="1060"/>
      <c r="E304" s="1060"/>
      <c r="F304" s="740"/>
      <c r="G304" s="740"/>
      <c r="H304" s="853"/>
      <c r="I304" s="853"/>
      <c r="J304" s="853"/>
      <c r="K304" s="853"/>
      <c r="L304" s="853"/>
      <c r="M304" s="853"/>
      <c r="N304" s="853"/>
      <c r="V304" s="853"/>
      <c r="W304" s="853"/>
      <c r="X304" s="853"/>
      <c r="AD304" s="1160"/>
      <c r="AE304" s="1160"/>
      <c r="AF304" s="1160"/>
      <c r="AG304" s="1160"/>
      <c r="AH304" s="1160"/>
      <c r="AI304" s="1160"/>
      <c r="AJ304" s="1160"/>
      <c r="AK304" s="1160"/>
      <c r="AL304" s="1160"/>
      <c r="AM304" s="1160"/>
      <c r="AN304" s="1160"/>
      <c r="AO304" s="1160"/>
      <c r="AP304" s="1160"/>
      <c r="AQ304" s="1160"/>
      <c r="AR304" s="1160"/>
      <c r="AS304" s="1160"/>
      <c r="AT304" s="1160"/>
      <c r="AU304" s="1160"/>
      <c r="AV304" s="1160"/>
      <c r="AW304" s="1160"/>
      <c r="AX304" s="1160"/>
      <c r="AY304" s="1160"/>
      <c r="AZ304" s="1160"/>
    </row>
    <row r="305" spans="4:52" s="739" customFormat="1" x14ac:dyDescent="0.2">
      <c r="D305" s="1060"/>
      <c r="E305" s="1060"/>
      <c r="F305" s="740"/>
      <c r="G305" s="740"/>
      <c r="H305" s="853"/>
      <c r="I305" s="853"/>
      <c r="J305" s="853"/>
      <c r="K305" s="853"/>
      <c r="L305" s="853"/>
      <c r="M305" s="853"/>
      <c r="N305" s="853"/>
      <c r="V305" s="853"/>
      <c r="W305" s="853"/>
      <c r="X305" s="853"/>
      <c r="AD305" s="1160"/>
      <c r="AE305" s="1160"/>
      <c r="AF305" s="1160"/>
      <c r="AG305" s="1160"/>
      <c r="AH305" s="1160"/>
      <c r="AI305" s="1160"/>
      <c r="AJ305" s="1160"/>
      <c r="AK305" s="1160"/>
      <c r="AL305" s="1160"/>
      <c r="AM305" s="1160"/>
      <c r="AN305" s="1160"/>
      <c r="AO305" s="1160"/>
      <c r="AP305" s="1160"/>
      <c r="AQ305" s="1160"/>
      <c r="AR305" s="1160"/>
      <c r="AS305" s="1160"/>
      <c r="AT305" s="1160"/>
      <c r="AU305" s="1160"/>
      <c r="AV305" s="1160"/>
      <c r="AW305" s="1160"/>
      <c r="AX305" s="1160"/>
      <c r="AY305" s="1160"/>
      <c r="AZ305" s="1160"/>
    </row>
    <row r="306" spans="4:52" s="739" customFormat="1" x14ac:dyDescent="0.2">
      <c r="D306" s="1060"/>
      <c r="E306" s="1060"/>
      <c r="F306" s="740"/>
      <c r="G306" s="740"/>
      <c r="H306" s="853"/>
      <c r="I306" s="853"/>
      <c r="J306" s="853"/>
      <c r="K306" s="853"/>
      <c r="L306" s="853"/>
      <c r="M306" s="853"/>
      <c r="N306" s="853"/>
      <c r="V306" s="853"/>
      <c r="W306" s="853"/>
      <c r="X306" s="853"/>
      <c r="AC306" s="1605"/>
      <c r="AD306" s="1160"/>
      <c r="AE306" s="1160"/>
      <c r="AF306" s="1160"/>
      <c r="AG306" s="1160"/>
      <c r="AH306" s="1160"/>
      <c r="AI306" s="1160"/>
      <c r="AJ306" s="1160"/>
      <c r="AK306" s="1160"/>
      <c r="AL306" s="1160"/>
      <c r="AM306" s="1160"/>
      <c r="AN306" s="1160"/>
      <c r="AO306" s="1160"/>
      <c r="AP306" s="1160"/>
      <c r="AQ306" s="1160"/>
      <c r="AR306" s="1160"/>
      <c r="AS306" s="1160"/>
      <c r="AT306" s="1160"/>
      <c r="AU306" s="1160"/>
      <c r="AV306" s="1160"/>
      <c r="AW306" s="1160"/>
      <c r="AX306" s="1160"/>
      <c r="AY306" s="1160"/>
      <c r="AZ306" s="1160"/>
    </row>
    <row r="307" spans="4:52" s="739" customFormat="1" x14ac:dyDescent="0.2">
      <c r="D307" s="1060"/>
      <c r="E307" s="1060"/>
      <c r="F307" s="740"/>
      <c r="G307" s="740"/>
      <c r="H307" s="853"/>
      <c r="I307" s="853"/>
      <c r="J307" s="853"/>
      <c r="K307" s="853"/>
      <c r="L307" s="853"/>
      <c r="M307" s="853"/>
      <c r="N307" s="853"/>
      <c r="V307" s="853"/>
      <c r="W307" s="853"/>
      <c r="X307" s="853"/>
      <c r="AD307" s="1160"/>
      <c r="AE307" s="1160"/>
      <c r="AF307" s="1160"/>
      <c r="AG307" s="1160"/>
      <c r="AH307" s="1160"/>
      <c r="AI307" s="1160"/>
      <c r="AJ307" s="1160"/>
      <c r="AK307" s="1160"/>
      <c r="AL307" s="1160"/>
      <c r="AM307" s="1160"/>
      <c r="AN307" s="1160"/>
      <c r="AO307" s="1160"/>
      <c r="AP307" s="1160"/>
      <c r="AQ307" s="1160"/>
      <c r="AR307" s="1160"/>
      <c r="AS307" s="1160"/>
      <c r="AT307" s="1160"/>
      <c r="AU307" s="1160"/>
      <c r="AV307" s="1160"/>
      <c r="AW307" s="1160"/>
      <c r="AX307" s="1160"/>
      <c r="AY307" s="1160"/>
      <c r="AZ307" s="1160"/>
    </row>
    <row r="308" spans="4:52" s="739" customFormat="1" x14ac:dyDescent="0.2">
      <c r="D308" s="1060"/>
      <c r="E308" s="1060"/>
      <c r="F308" s="740"/>
      <c r="G308" s="740"/>
      <c r="H308" s="853"/>
      <c r="I308" s="853"/>
      <c r="J308" s="853"/>
      <c r="K308" s="853"/>
      <c r="L308" s="853"/>
      <c r="M308" s="853"/>
      <c r="N308" s="853"/>
      <c r="V308" s="853"/>
      <c r="W308" s="853"/>
      <c r="X308" s="853"/>
      <c r="AD308" s="1160"/>
      <c r="AE308" s="1160"/>
      <c r="AF308" s="1160"/>
      <c r="AG308" s="1160"/>
      <c r="AH308" s="1160"/>
      <c r="AI308" s="1160"/>
      <c r="AJ308" s="1160"/>
      <c r="AK308" s="1160"/>
      <c r="AL308" s="1160"/>
      <c r="AM308" s="1160"/>
      <c r="AN308" s="1160"/>
      <c r="AO308" s="1160"/>
      <c r="AP308" s="1160"/>
      <c r="AQ308" s="1160"/>
      <c r="AR308" s="1160"/>
      <c r="AS308" s="1160"/>
      <c r="AT308" s="1160"/>
      <c r="AU308" s="1160"/>
      <c r="AV308" s="1160"/>
      <c r="AW308" s="1160"/>
      <c r="AX308" s="1160"/>
      <c r="AY308" s="1160"/>
      <c r="AZ308" s="1160"/>
    </row>
    <row r="309" spans="4:52" s="739" customFormat="1" x14ac:dyDescent="0.2">
      <c r="D309" s="1060"/>
      <c r="E309" s="1060"/>
      <c r="F309" s="740"/>
      <c r="G309" s="740"/>
      <c r="H309" s="853"/>
      <c r="I309" s="853"/>
      <c r="J309" s="853"/>
      <c r="K309" s="853"/>
      <c r="L309" s="853"/>
      <c r="M309" s="853"/>
      <c r="N309" s="853"/>
      <c r="V309" s="853"/>
      <c r="W309" s="853"/>
      <c r="X309" s="853"/>
      <c r="AD309" s="1160"/>
      <c r="AE309" s="1160"/>
      <c r="AF309" s="1160"/>
      <c r="AG309" s="1160"/>
      <c r="AH309" s="1160"/>
      <c r="AI309" s="1160"/>
      <c r="AJ309" s="1160"/>
      <c r="AK309" s="1160"/>
      <c r="AL309" s="1160"/>
      <c r="AM309" s="1160"/>
      <c r="AN309" s="1160"/>
      <c r="AO309" s="1160"/>
      <c r="AP309" s="1160"/>
      <c r="AQ309" s="1160"/>
      <c r="AR309" s="1160"/>
      <c r="AS309" s="1160"/>
      <c r="AT309" s="1160"/>
      <c r="AU309" s="1160"/>
      <c r="AV309" s="1160"/>
      <c r="AW309" s="1160"/>
      <c r="AX309" s="1160"/>
      <c r="AY309" s="1160"/>
      <c r="AZ309" s="1160"/>
    </row>
    <row r="310" spans="4:52" s="739" customFormat="1" x14ac:dyDescent="0.2">
      <c r="D310" s="1060"/>
      <c r="E310" s="1060"/>
      <c r="F310" s="740"/>
      <c r="G310" s="740"/>
      <c r="H310" s="853"/>
      <c r="I310" s="853"/>
      <c r="J310" s="853"/>
      <c r="K310" s="853"/>
      <c r="L310" s="853"/>
      <c r="M310" s="853"/>
      <c r="N310" s="853"/>
      <c r="V310" s="853"/>
      <c r="W310" s="853"/>
      <c r="X310" s="853"/>
      <c r="AD310" s="1160"/>
      <c r="AE310" s="1160"/>
      <c r="AF310" s="1160"/>
      <c r="AG310" s="1160"/>
      <c r="AH310" s="1160"/>
      <c r="AI310" s="1160"/>
      <c r="AJ310" s="1160"/>
      <c r="AK310" s="1160"/>
      <c r="AL310" s="1160"/>
      <c r="AM310" s="1160"/>
      <c r="AN310" s="1160"/>
      <c r="AO310" s="1160"/>
      <c r="AP310" s="1160"/>
      <c r="AQ310" s="1160"/>
      <c r="AR310" s="1160"/>
      <c r="AS310" s="1160"/>
      <c r="AT310" s="1160"/>
      <c r="AU310" s="1160"/>
      <c r="AV310" s="1160"/>
      <c r="AW310" s="1160"/>
      <c r="AX310" s="1160"/>
      <c r="AY310" s="1160"/>
      <c r="AZ310" s="1160"/>
    </row>
    <row r="311" spans="4:52" s="739" customFormat="1" x14ac:dyDescent="0.2">
      <c r="D311" s="1060"/>
      <c r="E311" s="1060"/>
      <c r="F311" s="740"/>
      <c r="G311" s="740"/>
      <c r="H311" s="853"/>
      <c r="I311" s="853"/>
      <c r="J311" s="853"/>
      <c r="K311" s="853"/>
      <c r="L311" s="853"/>
      <c r="M311" s="853"/>
      <c r="N311" s="853"/>
      <c r="V311" s="853"/>
      <c r="W311" s="853"/>
      <c r="X311" s="853"/>
      <c r="AC311" s="1605"/>
      <c r="AD311" s="1160"/>
      <c r="AE311" s="1160"/>
      <c r="AF311" s="1160"/>
      <c r="AG311" s="1160"/>
      <c r="AH311" s="1160"/>
      <c r="AI311" s="1160"/>
      <c r="AJ311" s="1160"/>
      <c r="AK311" s="1160"/>
      <c r="AL311" s="1160"/>
      <c r="AM311" s="1160"/>
      <c r="AN311" s="1160"/>
      <c r="AO311" s="1160"/>
      <c r="AP311" s="1160"/>
      <c r="AQ311" s="1160"/>
      <c r="AR311" s="1160"/>
      <c r="AS311" s="1160"/>
      <c r="AT311" s="1160"/>
      <c r="AU311" s="1160"/>
      <c r="AV311" s="1160"/>
      <c r="AW311" s="1160"/>
      <c r="AX311" s="1160"/>
      <c r="AY311" s="1160"/>
      <c r="AZ311" s="1160"/>
    </row>
    <row r="312" spans="4:52" s="739" customFormat="1" x14ac:dyDescent="0.2">
      <c r="D312" s="1060"/>
      <c r="E312" s="1060"/>
      <c r="F312" s="740"/>
      <c r="G312" s="740"/>
      <c r="H312" s="853"/>
      <c r="I312" s="853"/>
      <c r="J312" s="853"/>
      <c r="K312" s="853"/>
      <c r="L312" s="853"/>
      <c r="M312" s="853"/>
      <c r="N312" s="853"/>
      <c r="V312" s="853"/>
      <c r="W312" s="853"/>
      <c r="X312" s="853"/>
      <c r="AD312" s="1160"/>
      <c r="AE312" s="1160"/>
      <c r="AF312" s="1160"/>
      <c r="AG312" s="1160"/>
      <c r="AH312" s="1160"/>
      <c r="AI312" s="1160"/>
      <c r="AJ312" s="1160"/>
      <c r="AK312" s="1160"/>
      <c r="AL312" s="1160"/>
      <c r="AM312" s="1160"/>
      <c r="AN312" s="1160"/>
      <c r="AO312" s="1160"/>
      <c r="AP312" s="1160"/>
      <c r="AQ312" s="1160"/>
      <c r="AR312" s="1160"/>
      <c r="AS312" s="1160"/>
      <c r="AT312" s="1160"/>
      <c r="AU312" s="1160"/>
      <c r="AV312" s="1160"/>
      <c r="AW312" s="1160"/>
      <c r="AX312" s="1160"/>
      <c r="AY312" s="1160"/>
      <c r="AZ312" s="1160"/>
    </row>
    <row r="313" spans="4:52" s="739" customFormat="1" x14ac:dyDescent="0.2">
      <c r="D313" s="1060"/>
      <c r="E313" s="1060"/>
      <c r="F313" s="740"/>
      <c r="G313" s="740"/>
      <c r="H313" s="853"/>
      <c r="I313" s="853"/>
      <c r="J313" s="853"/>
      <c r="K313" s="853"/>
      <c r="L313" s="853"/>
      <c r="M313" s="853"/>
      <c r="N313" s="853"/>
      <c r="V313" s="853"/>
      <c r="W313" s="853"/>
      <c r="X313" s="853"/>
      <c r="AD313" s="1160"/>
      <c r="AE313" s="1160"/>
      <c r="AF313" s="1160"/>
      <c r="AG313" s="1160"/>
      <c r="AH313" s="1160"/>
      <c r="AI313" s="1160"/>
      <c r="AJ313" s="1160"/>
      <c r="AK313" s="1160"/>
      <c r="AL313" s="1160"/>
      <c r="AM313" s="1160"/>
      <c r="AN313" s="1160"/>
      <c r="AO313" s="1160"/>
      <c r="AP313" s="1160"/>
      <c r="AQ313" s="1160"/>
      <c r="AR313" s="1160"/>
      <c r="AS313" s="1160"/>
      <c r="AT313" s="1160"/>
      <c r="AU313" s="1160"/>
      <c r="AV313" s="1160"/>
      <c r="AW313" s="1160"/>
      <c r="AX313" s="1160"/>
      <c r="AY313" s="1160"/>
      <c r="AZ313" s="1160"/>
    </row>
    <row r="314" spans="4:52" s="739" customFormat="1" x14ac:dyDescent="0.2">
      <c r="D314" s="1060"/>
      <c r="E314" s="1060"/>
      <c r="F314" s="740"/>
      <c r="G314" s="740"/>
      <c r="H314" s="853"/>
      <c r="I314" s="853"/>
      <c r="J314" s="853"/>
      <c r="K314" s="853"/>
      <c r="L314" s="853"/>
      <c r="M314" s="853"/>
      <c r="N314" s="853"/>
      <c r="V314" s="853"/>
      <c r="W314" s="853"/>
      <c r="X314" s="853"/>
      <c r="AD314" s="1160"/>
      <c r="AE314" s="1160"/>
      <c r="AF314" s="1160"/>
      <c r="AG314" s="1160"/>
      <c r="AH314" s="1160"/>
      <c r="AI314" s="1160"/>
      <c r="AJ314" s="1160"/>
      <c r="AK314" s="1160"/>
      <c r="AL314" s="1160"/>
      <c r="AM314" s="1160"/>
      <c r="AN314" s="1160"/>
      <c r="AO314" s="1160"/>
      <c r="AP314" s="1160"/>
      <c r="AQ314" s="1160"/>
      <c r="AR314" s="1160"/>
      <c r="AS314" s="1160"/>
      <c r="AT314" s="1160"/>
      <c r="AU314" s="1160"/>
      <c r="AV314" s="1160"/>
      <c r="AW314" s="1160"/>
      <c r="AX314" s="1160"/>
      <c r="AY314" s="1160"/>
      <c r="AZ314" s="1160"/>
    </row>
    <row r="315" spans="4:52" s="739" customFormat="1" x14ac:dyDescent="0.2">
      <c r="D315" s="1060"/>
      <c r="E315" s="1060"/>
      <c r="F315" s="740"/>
      <c r="G315" s="740"/>
      <c r="H315" s="853"/>
      <c r="I315" s="853"/>
      <c r="J315" s="853"/>
      <c r="K315" s="853"/>
      <c r="L315" s="853"/>
      <c r="M315" s="853"/>
      <c r="N315" s="853"/>
      <c r="V315" s="853"/>
      <c r="W315" s="853"/>
      <c r="X315" s="853"/>
      <c r="AD315" s="1160"/>
      <c r="AE315" s="1160"/>
      <c r="AF315" s="1160"/>
      <c r="AG315" s="1160"/>
      <c r="AH315" s="1160"/>
      <c r="AI315" s="1160"/>
      <c r="AJ315" s="1160"/>
      <c r="AK315" s="1160"/>
      <c r="AL315" s="1160"/>
      <c r="AM315" s="1160"/>
      <c r="AN315" s="1160"/>
      <c r="AO315" s="1160"/>
      <c r="AP315" s="1160"/>
      <c r="AQ315" s="1160"/>
      <c r="AR315" s="1160"/>
      <c r="AS315" s="1160"/>
      <c r="AT315" s="1160"/>
      <c r="AU315" s="1160"/>
      <c r="AV315" s="1160"/>
      <c r="AW315" s="1160"/>
      <c r="AX315" s="1160"/>
      <c r="AY315" s="1160"/>
      <c r="AZ315" s="1160"/>
    </row>
    <row r="316" spans="4:52" s="739" customFormat="1" x14ac:dyDescent="0.2">
      <c r="D316" s="1060"/>
      <c r="E316" s="1060"/>
      <c r="F316" s="740"/>
      <c r="G316" s="740"/>
      <c r="H316" s="853"/>
      <c r="I316" s="853"/>
      <c r="J316" s="853"/>
      <c r="K316" s="853"/>
      <c r="L316" s="853"/>
      <c r="M316" s="853"/>
      <c r="N316" s="853"/>
      <c r="V316" s="853"/>
      <c r="W316" s="853"/>
      <c r="X316" s="853"/>
      <c r="AC316" s="1605"/>
      <c r="AD316" s="1160"/>
      <c r="AE316" s="1160"/>
      <c r="AF316" s="1160"/>
      <c r="AG316" s="1160"/>
      <c r="AH316" s="1160"/>
      <c r="AI316" s="1160"/>
      <c r="AJ316" s="1160"/>
      <c r="AK316" s="1160"/>
      <c r="AL316" s="1160"/>
      <c r="AM316" s="1160"/>
      <c r="AN316" s="1160"/>
      <c r="AO316" s="1160"/>
      <c r="AP316" s="1160"/>
      <c r="AQ316" s="1160"/>
      <c r="AR316" s="1160"/>
      <c r="AS316" s="1160"/>
      <c r="AT316" s="1160"/>
      <c r="AU316" s="1160"/>
      <c r="AV316" s="1160"/>
      <c r="AW316" s="1160"/>
      <c r="AX316" s="1160"/>
      <c r="AY316" s="1160"/>
      <c r="AZ316" s="1160"/>
    </row>
    <row r="317" spans="4:52" s="739" customFormat="1" x14ac:dyDescent="0.2">
      <c r="D317" s="1060"/>
      <c r="E317" s="1060"/>
      <c r="F317" s="740"/>
      <c r="G317" s="740"/>
      <c r="H317" s="853"/>
      <c r="I317" s="853"/>
      <c r="J317" s="853"/>
      <c r="K317" s="853"/>
      <c r="L317" s="853"/>
      <c r="M317" s="853"/>
      <c r="N317" s="853"/>
      <c r="V317" s="853"/>
      <c r="W317" s="853"/>
      <c r="X317" s="853"/>
      <c r="AD317" s="1160"/>
      <c r="AE317" s="1160"/>
      <c r="AF317" s="1160"/>
      <c r="AG317" s="1160"/>
      <c r="AH317" s="1160"/>
      <c r="AI317" s="1160"/>
      <c r="AJ317" s="1160"/>
      <c r="AK317" s="1160"/>
      <c r="AL317" s="1160"/>
      <c r="AM317" s="1160"/>
      <c r="AN317" s="1160"/>
      <c r="AO317" s="1160"/>
      <c r="AP317" s="1160"/>
      <c r="AQ317" s="1160"/>
      <c r="AR317" s="1160"/>
      <c r="AS317" s="1160"/>
      <c r="AT317" s="1160"/>
      <c r="AU317" s="1160"/>
      <c r="AV317" s="1160"/>
      <c r="AW317" s="1160"/>
      <c r="AX317" s="1160"/>
      <c r="AY317" s="1160"/>
      <c r="AZ317" s="1160"/>
    </row>
    <row r="318" spans="4:52" s="739" customFormat="1" x14ac:dyDescent="0.2">
      <c r="D318" s="1060"/>
      <c r="E318" s="1060"/>
      <c r="F318" s="740"/>
      <c r="G318" s="740"/>
      <c r="H318" s="853"/>
      <c r="I318" s="853"/>
      <c r="J318" s="853"/>
      <c r="K318" s="853"/>
      <c r="L318" s="853"/>
      <c r="M318" s="853"/>
      <c r="N318" s="853"/>
      <c r="V318" s="853"/>
      <c r="W318" s="853"/>
      <c r="X318" s="853"/>
      <c r="AD318" s="1160"/>
      <c r="AE318" s="1160"/>
      <c r="AF318" s="1160"/>
      <c r="AG318" s="1160"/>
      <c r="AH318" s="1160"/>
      <c r="AI318" s="1160"/>
      <c r="AJ318" s="1160"/>
      <c r="AK318" s="1160"/>
      <c r="AL318" s="1160"/>
      <c r="AM318" s="1160"/>
      <c r="AN318" s="1160"/>
      <c r="AO318" s="1160"/>
      <c r="AP318" s="1160"/>
      <c r="AQ318" s="1160"/>
      <c r="AR318" s="1160"/>
      <c r="AS318" s="1160"/>
      <c r="AT318" s="1160"/>
      <c r="AU318" s="1160"/>
      <c r="AV318" s="1160"/>
      <c r="AW318" s="1160"/>
      <c r="AX318" s="1160"/>
      <c r="AY318" s="1160"/>
      <c r="AZ318" s="1160"/>
    </row>
    <row r="319" spans="4:52" s="739" customFormat="1" x14ac:dyDescent="0.2">
      <c r="D319" s="1060"/>
      <c r="E319" s="1060"/>
      <c r="F319" s="740"/>
      <c r="G319" s="740"/>
      <c r="H319" s="853"/>
      <c r="I319" s="853"/>
      <c r="J319" s="853"/>
      <c r="K319" s="853"/>
      <c r="L319" s="853"/>
      <c r="M319" s="853"/>
      <c r="N319" s="853"/>
      <c r="V319" s="853"/>
      <c r="W319" s="853"/>
      <c r="X319" s="853"/>
      <c r="AD319" s="1160"/>
      <c r="AE319" s="1160"/>
      <c r="AF319" s="1160"/>
      <c r="AG319" s="1160"/>
      <c r="AH319" s="1160"/>
      <c r="AI319" s="1160"/>
      <c r="AJ319" s="1160"/>
      <c r="AK319" s="1160"/>
      <c r="AL319" s="1160"/>
      <c r="AM319" s="1160"/>
      <c r="AN319" s="1160"/>
      <c r="AO319" s="1160"/>
      <c r="AP319" s="1160"/>
      <c r="AQ319" s="1160"/>
      <c r="AR319" s="1160"/>
      <c r="AS319" s="1160"/>
      <c r="AT319" s="1160"/>
      <c r="AU319" s="1160"/>
      <c r="AV319" s="1160"/>
      <c r="AW319" s="1160"/>
      <c r="AX319" s="1160"/>
      <c r="AY319" s="1160"/>
      <c r="AZ319" s="1160"/>
    </row>
    <row r="320" spans="4:52" s="739" customFormat="1" x14ac:dyDescent="0.2">
      <c r="D320" s="1060"/>
      <c r="E320" s="1060"/>
      <c r="F320" s="740"/>
      <c r="G320" s="740"/>
      <c r="H320" s="853"/>
      <c r="I320" s="853"/>
      <c r="J320" s="853"/>
      <c r="K320" s="853"/>
      <c r="L320" s="853"/>
      <c r="M320" s="853"/>
      <c r="N320" s="853"/>
      <c r="V320" s="853"/>
      <c r="W320" s="853"/>
      <c r="X320" s="853"/>
      <c r="AD320" s="1160"/>
      <c r="AE320" s="1160"/>
      <c r="AF320" s="1160"/>
      <c r="AG320" s="1160"/>
      <c r="AH320" s="1160"/>
      <c r="AI320" s="1160"/>
      <c r="AJ320" s="1160"/>
      <c r="AK320" s="1160"/>
      <c r="AL320" s="1160"/>
      <c r="AM320" s="1160"/>
      <c r="AN320" s="1160"/>
      <c r="AO320" s="1160"/>
      <c r="AP320" s="1160"/>
      <c r="AQ320" s="1160"/>
      <c r="AR320" s="1160"/>
      <c r="AS320" s="1160"/>
      <c r="AT320" s="1160"/>
      <c r="AU320" s="1160"/>
      <c r="AV320" s="1160"/>
      <c r="AW320" s="1160"/>
      <c r="AX320" s="1160"/>
      <c r="AY320" s="1160"/>
      <c r="AZ320" s="1160"/>
    </row>
    <row r="321" spans="4:52" s="739" customFormat="1" x14ac:dyDescent="0.2">
      <c r="D321" s="1060"/>
      <c r="E321" s="1060"/>
      <c r="F321" s="740"/>
      <c r="G321" s="740"/>
      <c r="H321" s="853"/>
      <c r="I321" s="853"/>
      <c r="J321" s="853"/>
      <c r="K321" s="853"/>
      <c r="L321" s="853"/>
      <c r="M321" s="853"/>
      <c r="N321" s="853"/>
      <c r="V321" s="853"/>
      <c r="W321" s="853"/>
      <c r="X321" s="853"/>
      <c r="AD321" s="1160"/>
      <c r="AE321" s="1160"/>
      <c r="AF321" s="1160"/>
      <c r="AG321" s="1160"/>
      <c r="AH321" s="1160"/>
      <c r="AI321" s="1160"/>
      <c r="AJ321" s="1160"/>
      <c r="AK321" s="1160"/>
      <c r="AL321" s="1160"/>
      <c r="AM321" s="1160"/>
      <c r="AN321" s="1160"/>
      <c r="AO321" s="1160"/>
      <c r="AP321" s="1160"/>
      <c r="AQ321" s="1160"/>
      <c r="AR321" s="1160"/>
      <c r="AS321" s="1160"/>
      <c r="AT321" s="1160"/>
      <c r="AU321" s="1160"/>
      <c r="AV321" s="1160"/>
      <c r="AW321" s="1160"/>
      <c r="AX321" s="1160"/>
      <c r="AY321" s="1160"/>
      <c r="AZ321" s="1160"/>
    </row>
    <row r="322" spans="4:52" s="739" customFormat="1" x14ac:dyDescent="0.2">
      <c r="D322" s="1060"/>
      <c r="E322" s="1060"/>
      <c r="F322" s="740"/>
      <c r="G322" s="740"/>
      <c r="H322" s="853"/>
      <c r="I322" s="853"/>
      <c r="J322" s="853"/>
      <c r="K322" s="853"/>
      <c r="L322" s="853"/>
      <c r="M322" s="853"/>
      <c r="N322" s="853"/>
      <c r="V322" s="853"/>
      <c r="W322" s="853"/>
      <c r="X322" s="853"/>
      <c r="AD322" s="1160"/>
      <c r="AE322" s="1160"/>
      <c r="AF322" s="1160"/>
      <c r="AG322" s="1160"/>
      <c r="AH322" s="1160"/>
      <c r="AI322" s="1160"/>
      <c r="AJ322" s="1160"/>
      <c r="AK322" s="1160"/>
      <c r="AL322" s="1160"/>
      <c r="AM322" s="1160"/>
      <c r="AN322" s="1160"/>
      <c r="AO322" s="1160"/>
      <c r="AP322" s="1160"/>
      <c r="AQ322" s="1160"/>
      <c r="AR322" s="1160"/>
      <c r="AS322" s="1160"/>
      <c r="AT322" s="1160"/>
      <c r="AU322" s="1160"/>
      <c r="AV322" s="1160"/>
      <c r="AW322" s="1160"/>
      <c r="AX322" s="1160"/>
      <c r="AY322" s="1160"/>
      <c r="AZ322" s="1160"/>
    </row>
    <row r="323" spans="4:52" s="739" customFormat="1" x14ac:dyDescent="0.2">
      <c r="D323" s="1060"/>
      <c r="E323" s="1060"/>
      <c r="F323" s="740"/>
      <c r="G323" s="740"/>
      <c r="H323" s="853"/>
      <c r="I323" s="853"/>
      <c r="J323" s="853"/>
      <c r="K323" s="853"/>
      <c r="L323" s="853"/>
      <c r="M323" s="853"/>
      <c r="N323" s="853"/>
      <c r="V323" s="853"/>
      <c r="W323" s="853"/>
      <c r="X323" s="853"/>
      <c r="AD323" s="1160"/>
      <c r="AE323" s="1160"/>
      <c r="AF323" s="1160"/>
      <c r="AG323" s="1160"/>
      <c r="AH323" s="1160"/>
      <c r="AI323" s="1160"/>
      <c r="AJ323" s="1160"/>
      <c r="AK323" s="1160"/>
      <c r="AL323" s="1160"/>
      <c r="AM323" s="1160"/>
      <c r="AN323" s="1160"/>
      <c r="AO323" s="1160"/>
      <c r="AP323" s="1160"/>
      <c r="AQ323" s="1160"/>
      <c r="AR323" s="1160"/>
      <c r="AS323" s="1160"/>
      <c r="AT323" s="1160"/>
      <c r="AU323" s="1160"/>
      <c r="AV323" s="1160"/>
      <c r="AW323" s="1160"/>
      <c r="AX323" s="1160"/>
      <c r="AY323" s="1160"/>
      <c r="AZ323" s="1160"/>
    </row>
    <row r="324" spans="4:52" s="739" customFormat="1" x14ac:dyDescent="0.2">
      <c r="D324" s="1060"/>
      <c r="E324" s="1060"/>
      <c r="F324" s="740"/>
      <c r="G324" s="740"/>
      <c r="H324" s="853"/>
      <c r="I324" s="853"/>
      <c r="J324" s="853"/>
      <c r="K324" s="853"/>
      <c r="L324" s="853"/>
      <c r="M324" s="853"/>
      <c r="N324" s="853"/>
      <c r="V324" s="853"/>
      <c r="W324" s="853"/>
      <c r="X324" s="853"/>
      <c r="AD324" s="1160"/>
      <c r="AE324" s="1160"/>
      <c r="AF324" s="1160"/>
      <c r="AG324" s="1160"/>
      <c r="AH324" s="1160"/>
      <c r="AI324" s="1160"/>
      <c r="AJ324" s="1160"/>
      <c r="AK324" s="1160"/>
      <c r="AL324" s="1160"/>
      <c r="AM324" s="1160"/>
      <c r="AN324" s="1160"/>
      <c r="AO324" s="1160"/>
      <c r="AP324" s="1160"/>
      <c r="AQ324" s="1160"/>
      <c r="AR324" s="1160"/>
      <c r="AS324" s="1160"/>
      <c r="AT324" s="1160"/>
      <c r="AU324" s="1160"/>
      <c r="AV324" s="1160"/>
      <c r="AW324" s="1160"/>
      <c r="AX324" s="1160"/>
      <c r="AY324" s="1160"/>
      <c r="AZ324" s="1160"/>
    </row>
    <row r="325" spans="4:52" s="739" customFormat="1" x14ac:dyDescent="0.2">
      <c r="D325" s="1060"/>
      <c r="E325" s="1060"/>
      <c r="F325" s="740"/>
      <c r="G325" s="740"/>
      <c r="H325" s="853"/>
      <c r="I325" s="853"/>
      <c r="J325" s="853"/>
      <c r="K325" s="853"/>
      <c r="L325" s="853"/>
      <c r="M325" s="853"/>
      <c r="N325" s="853"/>
      <c r="V325" s="853"/>
      <c r="W325" s="853"/>
      <c r="X325" s="853"/>
      <c r="AD325" s="1160"/>
      <c r="AE325" s="1160"/>
      <c r="AF325" s="1160"/>
      <c r="AG325" s="1160"/>
      <c r="AH325" s="1160"/>
      <c r="AI325" s="1160"/>
      <c r="AJ325" s="1160"/>
      <c r="AK325" s="1160"/>
      <c r="AL325" s="1160"/>
      <c r="AM325" s="1160"/>
      <c r="AN325" s="1160"/>
      <c r="AO325" s="1160"/>
      <c r="AP325" s="1160"/>
      <c r="AQ325" s="1160"/>
      <c r="AR325" s="1160"/>
      <c r="AS325" s="1160"/>
      <c r="AT325" s="1160"/>
      <c r="AU325" s="1160"/>
      <c r="AV325" s="1160"/>
      <c r="AW325" s="1160"/>
      <c r="AX325" s="1160"/>
      <c r="AY325" s="1160"/>
      <c r="AZ325" s="1160"/>
    </row>
    <row r="326" spans="4:52" s="739" customFormat="1" x14ac:dyDescent="0.2">
      <c r="D326" s="1060"/>
      <c r="E326" s="1060"/>
      <c r="F326" s="740"/>
      <c r="G326" s="740"/>
      <c r="H326" s="853"/>
      <c r="I326" s="853"/>
      <c r="J326" s="853"/>
      <c r="K326" s="853"/>
      <c r="L326" s="853"/>
      <c r="M326" s="853"/>
      <c r="N326" s="853"/>
      <c r="V326" s="853"/>
      <c r="W326" s="853"/>
      <c r="X326" s="853"/>
      <c r="AD326" s="1160"/>
      <c r="AE326" s="1160"/>
      <c r="AF326" s="1160"/>
      <c r="AG326" s="1160"/>
      <c r="AH326" s="1160"/>
      <c r="AI326" s="1160"/>
      <c r="AJ326" s="1160"/>
      <c r="AK326" s="1160"/>
      <c r="AL326" s="1160"/>
      <c r="AM326" s="1160"/>
      <c r="AN326" s="1160"/>
      <c r="AO326" s="1160"/>
      <c r="AP326" s="1160"/>
      <c r="AQ326" s="1160"/>
      <c r="AR326" s="1160"/>
      <c r="AS326" s="1160"/>
      <c r="AT326" s="1160"/>
      <c r="AU326" s="1160"/>
      <c r="AV326" s="1160"/>
      <c r="AW326" s="1160"/>
      <c r="AX326" s="1160"/>
      <c r="AY326" s="1160"/>
      <c r="AZ326" s="1160"/>
    </row>
    <row r="327" spans="4:52" s="739" customFormat="1" x14ac:dyDescent="0.2">
      <c r="D327" s="1060"/>
      <c r="E327" s="1060"/>
      <c r="F327" s="740"/>
      <c r="G327" s="740"/>
      <c r="H327" s="853"/>
      <c r="I327" s="853"/>
      <c r="J327" s="853"/>
      <c r="K327" s="853"/>
      <c r="L327" s="853"/>
      <c r="M327" s="853"/>
      <c r="N327" s="853"/>
      <c r="V327" s="853"/>
      <c r="W327" s="853"/>
      <c r="X327" s="853"/>
      <c r="AC327" s="1605"/>
      <c r="AD327" s="1160"/>
      <c r="AE327" s="1160"/>
      <c r="AF327" s="1160"/>
      <c r="AG327" s="1160"/>
      <c r="AH327" s="1160"/>
      <c r="AI327" s="1160"/>
      <c r="AJ327" s="1160"/>
      <c r="AK327" s="1160"/>
      <c r="AL327" s="1160"/>
      <c r="AM327" s="1160"/>
      <c r="AN327" s="1160"/>
      <c r="AO327" s="1160"/>
      <c r="AP327" s="1160"/>
      <c r="AQ327" s="1160"/>
      <c r="AR327" s="1160"/>
      <c r="AS327" s="1160"/>
      <c r="AT327" s="1160"/>
      <c r="AU327" s="1160"/>
      <c r="AV327" s="1160"/>
      <c r="AW327" s="1160"/>
      <c r="AX327" s="1160"/>
      <c r="AY327" s="1160"/>
      <c r="AZ327" s="1160"/>
    </row>
    <row r="328" spans="4:52" s="739" customFormat="1" x14ac:dyDescent="0.2">
      <c r="D328" s="1060"/>
      <c r="E328" s="1060"/>
      <c r="F328" s="740"/>
      <c r="G328" s="740"/>
      <c r="H328" s="853"/>
      <c r="I328" s="853"/>
      <c r="J328" s="853"/>
      <c r="K328" s="853"/>
      <c r="L328" s="853"/>
      <c r="M328" s="853"/>
      <c r="N328" s="853"/>
      <c r="V328" s="853"/>
      <c r="W328" s="853"/>
      <c r="X328" s="853"/>
      <c r="AD328" s="1160"/>
      <c r="AE328" s="1160"/>
      <c r="AF328" s="1160"/>
      <c r="AG328" s="1160"/>
      <c r="AH328" s="1160"/>
      <c r="AI328" s="1160"/>
      <c r="AJ328" s="1160"/>
      <c r="AK328" s="1160"/>
      <c r="AL328" s="1160"/>
      <c r="AM328" s="1160"/>
      <c r="AN328" s="1160"/>
      <c r="AO328" s="1160"/>
      <c r="AP328" s="1160"/>
      <c r="AQ328" s="1160"/>
      <c r="AR328" s="1160"/>
      <c r="AS328" s="1160"/>
      <c r="AT328" s="1160"/>
      <c r="AU328" s="1160"/>
      <c r="AV328" s="1160"/>
      <c r="AW328" s="1160"/>
      <c r="AX328" s="1160"/>
      <c r="AY328" s="1160"/>
      <c r="AZ328" s="1160"/>
    </row>
    <row r="329" spans="4:52" s="739" customFormat="1" x14ac:dyDescent="0.2">
      <c r="D329" s="1060"/>
      <c r="E329" s="1060"/>
      <c r="F329" s="740"/>
      <c r="G329" s="740"/>
      <c r="H329" s="853"/>
      <c r="I329" s="853"/>
      <c r="J329" s="853"/>
      <c r="K329" s="853"/>
      <c r="L329" s="853"/>
      <c r="M329" s="853"/>
      <c r="N329" s="853"/>
      <c r="V329" s="853"/>
      <c r="W329" s="853"/>
      <c r="X329" s="853"/>
      <c r="AD329" s="1160"/>
      <c r="AE329" s="1160"/>
      <c r="AF329" s="1160"/>
      <c r="AG329" s="1160"/>
      <c r="AH329" s="1160"/>
      <c r="AI329" s="1160"/>
      <c r="AJ329" s="1160"/>
      <c r="AK329" s="1160"/>
      <c r="AL329" s="1160"/>
      <c r="AM329" s="1160"/>
      <c r="AN329" s="1160"/>
      <c r="AO329" s="1160"/>
      <c r="AP329" s="1160"/>
      <c r="AQ329" s="1160"/>
      <c r="AR329" s="1160"/>
      <c r="AS329" s="1160"/>
      <c r="AT329" s="1160"/>
      <c r="AU329" s="1160"/>
      <c r="AV329" s="1160"/>
      <c r="AW329" s="1160"/>
      <c r="AX329" s="1160"/>
      <c r="AY329" s="1160"/>
      <c r="AZ329" s="1160"/>
    </row>
    <row r="330" spans="4:52" s="739" customFormat="1" x14ac:dyDescent="0.2">
      <c r="D330" s="1060"/>
      <c r="E330" s="1060"/>
      <c r="F330" s="740"/>
      <c r="G330" s="740"/>
      <c r="H330" s="853"/>
      <c r="I330" s="853"/>
      <c r="J330" s="853"/>
      <c r="K330" s="853"/>
      <c r="L330" s="853"/>
      <c r="M330" s="853"/>
      <c r="N330" s="853"/>
      <c r="V330" s="853"/>
      <c r="W330" s="853"/>
      <c r="X330" s="853"/>
      <c r="AD330" s="1160"/>
      <c r="AE330" s="1160"/>
      <c r="AF330" s="1160"/>
      <c r="AG330" s="1160"/>
      <c r="AH330" s="1160"/>
      <c r="AI330" s="1160"/>
      <c r="AJ330" s="1160"/>
      <c r="AK330" s="1160"/>
      <c r="AL330" s="1160"/>
      <c r="AM330" s="1160"/>
      <c r="AN330" s="1160"/>
      <c r="AO330" s="1160"/>
      <c r="AP330" s="1160"/>
      <c r="AQ330" s="1160"/>
      <c r="AR330" s="1160"/>
      <c r="AS330" s="1160"/>
      <c r="AT330" s="1160"/>
      <c r="AU330" s="1160"/>
      <c r="AV330" s="1160"/>
      <c r="AW330" s="1160"/>
      <c r="AX330" s="1160"/>
      <c r="AY330" s="1160"/>
      <c r="AZ330" s="1160"/>
    </row>
    <row r="331" spans="4:52" s="739" customFormat="1" x14ac:dyDescent="0.2">
      <c r="D331" s="1060"/>
      <c r="E331" s="1060"/>
      <c r="F331" s="740"/>
      <c r="G331" s="740"/>
      <c r="H331" s="853"/>
      <c r="I331" s="853"/>
      <c r="J331" s="853"/>
      <c r="K331" s="853"/>
      <c r="L331" s="853"/>
      <c r="M331" s="853"/>
      <c r="N331" s="853"/>
      <c r="V331" s="853"/>
      <c r="W331" s="853"/>
      <c r="X331" s="853"/>
      <c r="AD331" s="1160"/>
      <c r="AE331" s="1160"/>
      <c r="AF331" s="1160"/>
      <c r="AG331" s="1160"/>
      <c r="AH331" s="1160"/>
      <c r="AI331" s="1160"/>
      <c r="AJ331" s="1160"/>
      <c r="AK331" s="1160"/>
      <c r="AL331" s="1160"/>
      <c r="AM331" s="1160"/>
      <c r="AN331" s="1160"/>
      <c r="AO331" s="1160"/>
      <c r="AP331" s="1160"/>
      <c r="AQ331" s="1160"/>
      <c r="AR331" s="1160"/>
      <c r="AS331" s="1160"/>
      <c r="AT331" s="1160"/>
      <c r="AU331" s="1160"/>
      <c r="AV331" s="1160"/>
      <c r="AW331" s="1160"/>
      <c r="AX331" s="1160"/>
      <c r="AY331" s="1160"/>
      <c r="AZ331" s="1160"/>
    </row>
    <row r="332" spans="4:52" s="739" customFormat="1" x14ac:dyDescent="0.2">
      <c r="D332" s="1060"/>
      <c r="E332" s="1060"/>
      <c r="F332" s="740"/>
      <c r="G332" s="740"/>
      <c r="H332" s="853"/>
      <c r="I332" s="853"/>
      <c r="J332" s="853"/>
      <c r="K332" s="853"/>
      <c r="L332" s="853"/>
      <c r="M332" s="853"/>
      <c r="N332" s="853"/>
      <c r="V332" s="853"/>
      <c r="W332" s="853"/>
      <c r="X332" s="853"/>
      <c r="AC332" s="1605"/>
      <c r="AD332" s="1160"/>
      <c r="AE332" s="1160"/>
      <c r="AF332" s="1160"/>
      <c r="AG332" s="1160"/>
      <c r="AH332" s="1160"/>
      <c r="AI332" s="1160"/>
      <c r="AJ332" s="1160"/>
      <c r="AK332" s="1160"/>
      <c r="AL332" s="1160"/>
      <c r="AM332" s="1160"/>
      <c r="AN332" s="1160"/>
      <c r="AO332" s="1160"/>
      <c r="AP332" s="1160"/>
      <c r="AQ332" s="1160"/>
      <c r="AR332" s="1160"/>
      <c r="AS332" s="1160"/>
      <c r="AT332" s="1160"/>
      <c r="AU332" s="1160"/>
      <c r="AV332" s="1160"/>
      <c r="AW332" s="1160"/>
      <c r="AX332" s="1160"/>
      <c r="AY332" s="1160"/>
      <c r="AZ332" s="1160"/>
    </row>
    <row r="333" spans="4:52" s="739" customFormat="1" x14ac:dyDescent="0.2">
      <c r="D333" s="1060"/>
      <c r="E333" s="1060"/>
      <c r="F333" s="740"/>
      <c r="G333" s="740"/>
      <c r="H333" s="853"/>
      <c r="I333" s="853"/>
      <c r="J333" s="853"/>
      <c r="K333" s="853"/>
      <c r="L333" s="853"/>
      <c r="M333" s="853"/>
      <c r="N333" s="853"/>
      <c r="V333" s="853"/>
      <c r="W333" s="853"/>
      <c r="X333" s="853"/>
      <c r="AD333" s="1160"/>
      <c r="AE333" s="1160"/>
      <c r="AF333" s="1160"/>
      <c r="AG333" s="1160"/>
      <c r="AH333" s="1160"/>
      <c r="AI333" s="1160"/>
      <c r="AJ333" s="1160"/>
      <c r="AK333" s="1160"/>
      <c r="AL333" s="1160"/>
      <c r="AM333" s="1160"/>
      <c r="AN333" s="1160"/>
      <c r="AO333" s="1160"/>
      <c r="AP333" s="1160"/>
      <c r="AQ333" s="1160"/>
      <c r="AR333" s="1160"/>
      <c r="AS333" s="1160"/>
      <c r="AT333" s="1160"/>
      <c r="AU333" s="1160"/>
      <c r="AV333" s="1160"/>
      <c r="AW333" s="1160"/>
      <c r="AX333" s="1160"/>
      <c r="AY333" s="1160"/>
      <c r="AZ333" s="1160"/>
    </row>
    <row r="334" spans="4:52" s="739" customFormat="1" x14ac:dyDescent="0.2">
      <c r="D334" s="1060"/>
      <c r="E334" s="1060"/>
      <c r="F334" s="740"/>
      <c r="G334" s="740"/>
      <c r="H334" s="853"/>
      <c r="I334" s="853"/>
      <c r="J334" s="853"/>
      <c r="K334" s="853"/>
      <c r="L334" s="853"/>
      <c r="M334" s="853"/>
      <c r="N334" s="853"/>
      <c r="V334" s="853"/>
      <c r="W334" s="853"/>
      <c r="X334" s="853"/>
      <c r="AD334" s="1160"/>
      <c r="AE334" s="1160"/>
      <c r="AF334" s="1160"/>
      <c r="AG334" s="1160"/>
      <c r="AH334" s="1160"/>
      <c r="AI334" s="1160"/>
      <c r="AJ334" s="1160"/>
      <c r="AK334" s="1160"/>
      <c r="AL334" s="1160"/>
      <c r="AM334" s="1160"/>
      <c r="AN334" s="1160"/>
      <c r="AO334" s="1160"/>
      <c r="AP334" s="1160"/>
      <c r="AQ334" s="1160"/>
      <c r="AR334" s="1160"/>
      <c r="AS334" s="1160"/>
      <c r="AT334" s="1160"/>
      <c r="AU334" s="1160"/>
      <c r="AV334" s="1160"/>
      <c r="AW334" s="1160"/>
      <c r="AX334" s="1160"/>
      <c r="AY334" s="1160"/>
      <c r="AZ334" s="1160"/>
    </row>
    <row r="335" spans="4:52" s="739" customFormat="1" x14ac:dyDescent="0.2">
      <c r="D335" s="1060"/>
      <c r="E335" s="1060"/>
      <c r="F335" s="740"/>
      <c r="G335" s="740"/>
      <c r="H335" s="853"/>
      <c r="I335" s="853"/>
      <c r="J335" s="853"/>
      <c r="K335" s="853"/>
      <c r="L335" s="853"/>
      <c r="M335" s="853"/>
      <c r="N335" s="853"/>
      <c r="V335" s="853"/>
      <c r="W335" s="853"/>
      <c r="X335" s="853"/>
      <c r="AD335" s="1160"/>
      <c r="AE335" s="1160"/>
      <c r="AF335" s="1160"/>
      <c r="AG335" s="1160"/>
      <c r="AH335" s="1160"/>
      <c r="AI335" s="1160"/>
      <c r="AJ335" s="1160"/>
      <c r="AK335" s="1160"/>
      <c r="AL335" s="1160"/>
      <c r="AM335" s="1160"/>
      <c r="AN335" s="1160"/>
      <c r="AO335" s="1160"/>
      <c r="AP335" s="1160"/>
      <c r="AQ335" s="1160"/>
      <c r="AR335" s="1160"/>
      <c r="AS335" s="1160"/>
      <c r="AT335" s="1160"/>
      <c r="AU335" s="1160"/>
      <c r="AV335" s="1160"/>
      <c r="AW335" s="1160"/>
      <c r="AX335" s="1160"/>
      <c r="AY335" s="1160"/>
      <c r="AZ335" s="1160"/>
    </row>
    <row r="337" spans="29:29" x14ac:dyDescent="0.2">
      <c r="AC337" s="114"/>
    </row>
    <row r="342" spans="29:29" x14ac:dyDescent="0.2">
      <c r="AC342" s="114"/>
    </row>
    <row r="347" spans="29:29" x14ac:dyDescent="0.2">
      <c r="AC347" s="114"/>
    </row>
    <row r="352" spans="29:29" x14ac:dyDescent="0.2">
      <c r="AC352" s="114"/>
    </row>
  </sheetData>
  <sheetProtection algorithmName="SHA-512" hashValue="1hjPWEYWycvvPggdsuQzD/DhpYhuFHU7h46Uarjc4EuEI5bNdk7gnChWoOZ/QIVZ78JKeFyYN3uwdn8o+EHciA==" saltValue="jkbBrQ1+0YrY1H0oGvHmKg==" spinCount="100000" sheet="1" objects="1" scenarios="1"/>
  <phoneticPr fontId="47" type="noConversion"/>
  <pageMargins left="0.74803149606299213" right="0.74803149606299213" top="0.98425196850393704" bottom="0.98425196850393704" header="0.51181102362204722" footer="0.51181102362204722"/>
  <pageSetup paperSize="9" scale="55" orientation="landscape" r:id="rId1"/>
  <headerFooter alignWithMargins="0">
    <oddHeader>&amp;L&amp;F&amp;R&amp;A</oddHeader>
    <oddFooter>&amp;Lkeizer&amp;Cpagina &amp;P&amp;R&amp;D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BE601"/>
  <sheetViews>
    <sheetView showGridLines="0" zoomScale="80" zoomScaleNormal="80" zoomScaleSheetLayoutView="85" zoomScalePageLayoutView="40" workbookViewId="0">
      <selection activeCell="B2" sqref="B2"/>
    </sheetView>
  </sheetViews>
  <sheetFormatPr defaultRowHeight="12.75" x14ac:dyDescent="0.2"/>
  <cols>
    <col min="1" max="1" width="2.5703125" style="194" customWidth="1"/>
    <col min="2" max="3" width="2.7109375" style="194" customWidth="1"/>
    <col min="4" max="4" width="40.42578125" style="194" customWidth="1"/>
    <col min="5" max="5" width="8.42578125" style="194" customWidth="1"/>
    <col min="6" max="6" width="5.7109375" style="198" customWidth="1"/>
    <col min="7" max="7" width="1.7109375" style="198" customWidth="1"/>
    <col min="8" max="8" width="2.7109375" style="194" customWidth="1"/>
    <col min="9" max="9" width="16.28515625" style="194" bestFit="1" customWidth="1"/>
    <col min="10" max="10" width="16.42578125" style="194" customWidth="1"/>
    <col min="11" max="11" width="14.85546875" style="194" customWidth="1"/>
    <col min="12" max="18" width="14.85546875" style="198" customWidth="1"/>
    <col min="19" max="20" width="2.7109375" style="194" customWidth="1"/>
    <col min="21" max="16384" width="9.140625" style="194"/>
  </cols>
  <sheetData>
    <row r="2" spans="2:18" x14ac:dyDescent="0.2">
      <c r="B2" s="72"/>
      <c r="C2" s="73"/>
      <c r="D2" s="73"/>
      <c r="E2" s="73"/>
      <c r="F2" s="74"/>
      <c r="G2" s="74"/>
      <c r="H2" s="73"/>
      <c r="I2" s="74"/>
      <c r="J2" s="74"/>
      <c r="K2" s="74"/>
      <c r="L2" s="74"/>
      <c r="M2" s="74"/>
      <c r="N2" s="74"/>
      <c r="O2" s="74"/>
      <c r="P2" s="73"/>
      <c r="Q2" s="75"/>
      <c r="R2" s="194"/>
    </row>
    <row r="3" spans="2:18" x14ac:dyDescent="0.2">
      <c r="B3" s="76"/>
      <c r="C3" s="77"/>
      <c r="D3" s="57"/>
      <c r="E3" s="57"/>
      <c r="F3" s="126"/>
      <c r="G3" s="126"/>
      <c r="H3" s="77"/>
      <c r="I3" s="70"/>
      <c r="J3" s="70"/>
      <c r="K3" s="70"/>
      <c r="L3" s="70"/>
      <c r="M3" s="70"/>
      <c r="N3" s="70"/>
      <c r="O3" s="70"/>
      <c r="P3" s="77"/>
      <c r="Q3" s="78"/>
      <c r="R3" s="194"/>
    </row>
    <row r="4" spans="2:18" s="168" customFormat="1" ht="18.75" x14ac:dyDescent="0.3">
      <c r="B4" s="175"/>
      <c r="C4" s="620" t="s">
        <v>28</v>
      </c>
      <c r="D4" s="177"/>
      <c r="E4" s="177"/>
      <c r="F4" s="178"/>
      <c r="G4" s="178"/>
      <c r="H4" s="177"/>
      <c r="I4" s="178"/>
      <c r="J4" s="178"/>
      <c r="K4" s="178"/>
      <c r="L4" s="178"/>
      <c r="M4" s="178"/>
      <c r="N4" s="178"/>
      <c r="O4" s="178"/>
      <c r="P4" s="177"/>
      <c r="Q4" s="179"/>
    </row>
    <row r="5" spans="2:18" ht="18.75" x14ac:dyDescent="0.3">
      <c r="B5" s="76"/>
      <c r="C5" s="406" t="str">
        <f>+'geg LO'!C5</f>
        <v xml:space="preserve">SWV VO </v>
      </c>
      <c r="D5" s="57"/>
      <c r="E5" s="57"/>
      <c r="F5" s="126"/>
      <c r="G5" s="126"/>
      <c r="H5" s="77"/>
      <c r="I5" s="70"/>
      <c r="J5" s="70"/>
      <c r="K5" s="70"/>
      <c r="L5" s="70"/>
      <c r="M5" s="70"/>
      <c r="N5" s="70"/>
      <c r="O5" s="70"/>
      <c r="P5" s="77"/>
      <c r="Q5" s="78"/>
      <c r="R5" s="194"/>
    </row>
    <row r="6" spans="2:18" x14ac:dyDescent="0.2">
      <c r="B6" s="76"/>
      <c r="C6" s="77"/>
      <c r="D6" s="57"/>
      <c r="E6" s="57"/>
      <c r="F6" s="126"/>
      <c r="G6" s="126"/>
      <c r="H6" s="77"/>
      <c r="I6" s="70"/>
      <c r="J6" s="70"/>
      <c r="K6" s="70"/>
      <c r="L6" s="70"/>
      <c r="M6" s="70"/>
      <c r="N6" s="70"/>
      <c r="O6" s="70"/>
      <c r="P6" s="77"/>
      <c r="Q6" s="78"/>
      <c r="R6" s="194"/>
    </row>
    <row r="7" spans="2:18" ht="15" x14ac:dyDescent="0.25">
      <c r="B7" s="76"/>
      <c r="C7" s="954" t="s">
        <v>866</v>
      </c>
      <c r="D7" s="57"/>
      <c r="E7" s="57"/>
      <c r="F7" s="126"/>
      <c r="G7" s="126"/>
      <c r="H7" s="77"/>
      <c r="I7" s="70"/>
      <c r="J7" s="70"/>
      <c r="K7" s="70"/>
      <c r="L7" s="70"/>
      <c r="M7" s="70"/>
      <c r="N7" s="70"/>
      <c r="O7" s="70"/>
      <c r="P7" s="77"/>
      <c r="Q7" s="78"/>
      <c r="R7" s="194"/>
    </row>
    <row r="8" spans="2:18" x14ac:dyDescent="0.2">
      <c r="B8" s="76"/>
      <c r="C8" s="77"/>
      <c r="D8" s="57"/>
      <c r="E8" s="57"/>
      <c r="F8" s="126"/>
      <c r="G8" s="126"/>
      <c r="H8" s="77"/>
      <c r="I8" s="70"/>
      <c r="J8" s="70"/>
      <c r="K8" s="70"/>
      <c r="L8" s="70"/>
      <c r="M8" s="70"/>
      <c r="N8" s="70"/>
      <c r="O8" s="70"/>
      <c r="P8" s="77"/>
      <c r="Q8" s="78"/>
      <c r="R8" s="194"/>
    </row>
    <row r="9" spans="2:18" x14ac:dyDescent="0.2">
      <c r="B9" s="76"/>
      <c r="C9" s="191"/>
      <c r="D9" s="199"/>
      <c r="E9" s="199"/>
      <c r="F9" s="201"/>
      <c r="G9" s="201"/>
      <c r="H9" s="191"/>
      <c r="I9" s="191"/>
      <c r="J9" s="71"/>
      <c r="K9" s="71"/>
      <c r="L9" s="71"/>
      <c r="M9" s="71"/>
      <c r="N9" s="71"/>
      <c r="O9" s="71"/>
      <c r="P9" s="191"/>
      <c r="Q9" s="78"/>
      <c r="R9" s="194"/>
    </row>
    <row r="10" spans="2:18" x14ac:dyDescent="0.2">
      <c r="B10" s="76"/>
      <c r="C10" s="191"/>
      <c r="D10" s="618" t="s">
        <v>29</v>
      </c>
      <c r="E10" s="618"/>
      <c r="F10" s="201"/>
      <c r="G10" s="201"/>
      <c r="H10" s="191"/>
      <c r="I10" s="191"/>
      <c r="J10" s="69"/>
      <c r="K10" s="71"/>
      <c r="L10" s="71"/>
      <c r="M10" s="71"/>
      <c r="N10" s="71"/>
      <c r="O10" s="71"/>
      <c r="P10" s="191"/>
      <c r="Q10" s="78"/>
      <c r="R10" s="194"/>
    </row>
    <row r="11" spans="2:18" x14ac:dyDescent="0.2">
      <c r="B11" s="76"/>
      <c r="C11" s="191"/>
      <c r="D11" s="201"/>
      <c r="E11" s="201"/>
      <c r="F11" s="201"/>
      <c r="G11" s="201"/>
      <c r="H11" s="191"/>
      <c r="I11" s="882" t="s">
        <v>386</v>
      </c>
      <c r="J11" s="853" t="s">
        <v>387</v>
      </c>
      <c r="K11" s="150"/>
      <c r="L11" s="71"/>
      <c r="M11" s="71"/>
      <c r="N11" s="71"/>
      <c r="O11" s="71"/>
      <c r="P11" s="191"/>
      <c r="Q11" s="78"/>
      <c r="R11" s="194"/>
    </row>
    <row r="12" spans="2:18" x14ac:dyDescent="0.2">
      <c r="B12" s="76"/>
      <c r="C12" s="191"/>
      <c r="D12" s="50" t="s">
        <v>601</v>
      </c>
      <c r="E12" s="187"/>
      <c r="F12" s="71"/>
      <c r="G12" s="113"/>
      <c r="H12" s="113"/>
      <c r="I12" s="881">
        <v>0</v>
      </c>
      <c r="J12" s="881">
        <v>0</v>
      </c>
      <c r="K12" s="920"/>
      <c r="L12" s="200"/>
      <c r="M12" s="200"/>
      <c r="N12" s="200"/>
      <c r="O12" s="200"/>
      <c r="P12" s="191"/>
      <c r="Q12" s="78"/>
      <c r="R12" s="194"/>
    </row>
    <row r="13" spans="2:18" x14ac:dyDescent="0.2">
      <c r="B13" s="76"/>
      <c r="C13" s="191"/>
      <c r="D13" s="187" t="s">
        <v>389</v>
      </c>
      <c r="E13" s="187"/>
      <c r="F13" s="71"/>
      <c r="G13" s="113"/>
      <c r="H13" s="113"/>
      <c r="I13" s="884">
        <v>0</v>
      </c>
      <c r="J13" s="1677">
        <v>0</v>
      </c>
      <c r="K13" s="921"/>
      <c r="L13" s="200"/>
      <c r="M13" s="200"/>
      <c r="N13" s="200"/>
      <c r="O13" s="200"/>
      <c r="P13" s="191"/>
      <c r="Q13" s="883"/>
      <c r="R13" s="194"/>
    </row>
    <row r="14" spans="2:18" x14ac:dyDescent="0.2">
      <c r="B14" s="76"/>
      <c r="C14" s="191"/>
      <c r="D14" s="191"/>
      <c r="E14" s="191"/>
      <c r="F14" s="71"/>
      <c r="G14" s="71"/>
      <c r="H14" s="191"/>
      <c r="I14" s="903"/>
      <c r="J14" s="904"/>
      <c r="K14" s="516"/>
      <c r="L14" s="191"/>
      <c r="M14" s="191"/>
      <c r="N14" s="191"/>
      <c r="O14" s="191"/>
      <c r="P14" s="191"/>
      <c r="Q14" s="78"/>
      <c r="R14" s="194"/>
    </row>
    <row r="15" spans="2:18" x14ac:dyDescent="0.2">
      <c r="B15" s="76"/>
      <c r="C15" s="77"/>
      <c r="D15" s="57"/>
      <c r="E15" s="57"/>
      <c r="F15" s="126"/>
      <c r="G15" s="126"/>
      <c r="H15" s="77"/>
      <c r="I15" s="70"/>
      <c r="J15" s="70"/>
      <c r="K15" s="70"/>
      <c r="L15" s="70"/>
      <c r="M15" s="70"/>
      <c r="N15" s="70"/>
      <c r="O15" s="70"/>
      <c r="P15" s="77"/>
      <c r="Q15" s="78"/>
      <c r="R15" s="194"/>
    </row>
    <row r="16" spans="2:18" x14ac:dyDescent="0.2">
      <c r="B16" s="76"/>
      <c r="C16" s="77"/>
      <c r="D16" s="57"/>
      <c r="E16" s="57"/>
      <c r="F16" s="126"/>
      <c r="G16" s="126"/>
      <c r="H16" s="77"/>
      <c r="I16" s="70"/>
      <c r="J16" s="70"/>
      <c r="K16" s="70"/>
      <c r="L16" s="70"/>
      <c r="M16" s="70"/>
      <c r="N16" s="70"/>
      <c r="O16" s="70"/>
      <c r="P16" s="77"/>
      <c r="Q16" s="78"/>
      <c r="R16" s="194"/>
    </row>
    <row r="17" spans="2:18" x14ac:dyDescent="0.2">
      <c r="B17" s="76"/>
      <c r="C17" s="77"/>
      <c r="D17" s="57"/>
      <c r="E17" s="57"/>
      <c r="F17" s="126"/>
      <c r="G17" s="126"/>
      <c r="H17" s="77"/>
      <c r="I17" s="70"/>
      <c r="J17" s="70"/>
      <c r="K17" s="70"/>
      <c r="L17" s="70"/>
      <c r="M17" s="70"/>
      <c r="N17" s="70"/>
      <c r="O17" s="70"/>
      <c r="P17" s="77"/>
      <c r="Q17" s="78"/>
      <c r="R17" s="194"/>
    </row>
    <row r="18" spans="2:18" x14ac:dyDescent="0.2">
      <c r="B18" s="76"/>
      <c r="C18" s="77"/>
      <c r="D18" s="609" t="s">
        <v>145</v>
      </c>
      <c r="E18" s="609"/>
      <c r="F18" s="619"/>
      <c r="G18" s="619"/>
      <c r="H18" s="610"/>
      <c r="I18" s="596" t="str">
        <f>tab!D2</f>
        <v>2014/15</v>
      </c>
      <c r="J18" s="596" t="str">
        <f>tab!E2</f>
        <v>2015/16</v>
      </c>
      <c r="K18" s="596" t="str">
        <f>tab!F2</f>
        <v>2016/17</v>
      </c>
      <c r="L18" s="596" t="str">
        <f>tab!G2</f>
        <v>2017/18</v>
      </c>
      <c r="M18" s="596" t="str">
        <f>tab!H2</f>
        <v>2018/19</v>
      </c>
      <c r="N18" s="596" t="str">
        <f>tab!I2</f>
        <v>2019/20</v>
      </c>
      <c r="O18" s="596" t="str">
        <f>tab!J2</f>
        <v>2020/21</v>
      </c>
      <c r="P18" s="77"/>
      <c r="Q18" s="78"/>
      <c r="R18" s="194"/>
    </row>
    <row r="19" spans="2:18" x14ac:dyDescent="0.2">
      <c r="B19" s="76"/>
      <c r="C19" s="77"/>
      <c r="D19" s="609" t="s">
        <v>260</v>
      </c>
      <c r="E19" s="609"/>
      <c r="F19" s="619"/>
      <c r="G19" s="619"/>
      <c r="H19" s="610"/>
      <c r="I19" s="614">
        <f>J19-1</f>
        <v>2013</v>
      </c>
      <c r="J19" s="614">
        <f>tab!D4</f>
        <v>2014</v>
      </c>
      <c r="K19" s="614">
        <f>J19+1</f>
        <v>2015</v>
      </c>
      <c r="L19" s="614">
        <f>K19+1</f>
        <v>2016</v>
      </c>
      <c r="M19" s="614">
        <f>L19+1</f>
        <v>2017</v>
      </c>
      <c r="N19" s="614">
        <f>M19+1</f>
        <v>2018</v>
      </c>
      <c r="O19" s="614">
        <f>N19+1</f>
        <v>2019</v>
      </c>
      <c r="P19" s="77"/>
      <c r="Q19" s="78"/>
      <c r="R19" s="194"/>
    </row>
    <row r="20" spans="2:18" x14ac:dyDescent="0.2">
      <c r="B20" s="76"/>
      <c r="C20" s="77"/>
      <c r="D20" s="57"/>
      <c r="E20" s="57"/>
      <c r="F20" s="126"/>
      <c r="G20" s="126"/>
      <c r="H20" s="77"/>
      <c r="I20" s="70"/>
      <c r="J20" s="70"/>
      <c r="K20" s="70"/>
      <c r="L20" s="70"/>
      <c r="M20" s="70"/>
      <c r="N20" s="70"/>
      <c r="O20" s="70"/>
      <c r="P20" s="77"/>
      <c r="Q20" s="78"/>
      <c r="R20" s="194"/>
    </row>
    <row r="21" spans="2:18" x14ac:dyDescent="0.2">
      <c r="B21" s="76"/>
      <c r="C21" s="191"/>
      <c r="D21" s="191"/>
      <c r="E21" s="191"/>
      <c r="F21" s="71"/>
      <c r="G21" s="71"/>
      <c r="H21" s="191"/>
      <c r="I21" s="71"/>
      <c r="J21" s="71"/>
      <c r="K21" s="71"/>
      <c r="L21" s="71"/>
      <c r="M21" s="71"/>
      <c r="N21" s="71"/>
      <c r="O21" s="71"/>
      <c r="P21" s="191"/>
      <c r="Q21" s="78"/>
      <c r="R21" s="194"/>
    </row>
    <row r="22" spans="2:18" x14ac:dyDescent="0.2">
      <c r="B22" s="76"/>
      <c r="C22" s="191"/>
      <c r="D22" s="604" t="s">
        <v>218</v>
      </c>
      <c r="E22" s="604"/>
      <c r="F22" s="210"/>
      <c r="G22" s="210"/>
      <c r="H22" s="191"/>
      <c r="I22" s="71"/>
      <c r="J22" s="71"/>
      <c r="K22" s="71"/>
      <c r="L22" s="71"/>
      <c r="M22" s="71"/>
      <c r="N22" s="71"/>
      <c r="O22" s="71"/>
      <c r="P22" s="191"/>
      <c r="Q22" s="78"/>
      <c r="R22" s="194"/>
    </row>
    <row r="23" spans="2:18" x14ac:dyDescent="0.2">
      <c r="B23" s="76"/>
      <c r="C23" s="191"/>
      <c r="D23" s="191"/>
      <c r="E23" s="191"/>
      <c r="F23" s="71"/>
      <c r="G23" s="71"/>
      <c r="H23" s="191"/>
      <c r="I23" s="71"/>
      <c r="J23" s="71"/>
      <c r="K23" s="71"/>
      <c r="L23" s="71"/>
      <c r="M23" s="71"/>
      <c r="N23" s="71"/>
      <c r="O23" s="71"/>
      <c r="P23" s="191"/>
      <c r="Q23" s="78"/>
      <c r="R23" s="194"/>
    </row>
    <row r="24" spans="2:18" x14ac:dyDescent="0.2">
      <c r="B24" s="76"/>
      <c r="C24" s="191"/>
      <c r="D24" s="191" t="s">
        <v>393</v>
      </c>
      <c r="E24" s="191"/>
      <c r="F24" s="71"/>
      <c r="G24" s="71"/>
      <c r="H24" s="191"/>
      <c r="I24" s="1691">
        <f>+'geg LO'!F21</f>
        <v>0</v>
      </c>
      <c r="J24" s="1691">
        <f>+'geg LO'!G21</f>
        <v>0</v>
      </c>
      <c r="K24" s="1691">
        <f>+'geg LO'!H21</f>
        <v>0</v>
      </c>
      <c r="L24" s="1691">
        <f>+'geg LO'!I21</f>
        <v>0</v>
      </c>
      <c r="M24" s="1691">
        <f>+'geg LO'!J21</f>
        <v>0</v>
      </c>
      <c r="N24" s="1691">
        <f>+'geg LO'!K21</f>
        <v>0</v>
      </c>
      <c r="O24" s="1691">
        <f>+'geg LO'!L21</f>
        <v>0</v>
      </c>
      <c r="P24" s="191"/>
      <c r="Q24" s="78"/>
      <c r="R24" s="194"/>
    </row>
    <row r="25" spans="2:18" x14ac:dyDescent="0.2">
      <c r="B25" s="76"/>
      <c r="C25" s="191"/>
      <c r="D25" s="191" t="s">
        <v>395</v>
      </c>
      <c r="E25" s="191"/>
      <c r="F25" s="71"/>
      <c r="G25" s="71"/>
      <c r="H25" s="191"/>
      <c r="I25" s="1691">
        <f>+'geg LO'!F22</f>
        <v>0</v>
      </c>
      <c r="J25" s="1691">
        <f>+'geg LO'!G22</f>
        <v>0</v>
      </c>
      <c r="K25" s="1691">
        <f>+'geg LO'!H22</f>
        <v>0</v>
      </c>
      <c r="L25" s="1691">
        <f>+'geg LO'!I22</f>
        <v>0</v>
      </c>
      <c r="M25" s="1691">
        <f>+'geg LO'!J22</f>
        <v>0</v>
      </c>
      <c r="N25" s="1691">
        <f>+'geg LO'!K22</f>
        <v>0</v>
      </c>
      <c r="O25" s="1691">
        <f>+'geg LO'!L22</f>
        <v>0</v>
      </c>
      <c r="P25" s="191"/>
      <c r="Q25" s="78"/>
      <c r="R25" s="194"/>
    </row>
    <row r="26" spans="2:18" x14ac:dyDescent="0.2">
      <c r="B26" s="76"/>
      <c r="C26" s="191"/>
      <c r="D26" s="191" t="s">
        <v>396</v>
      </c>
      <c r="E26" s="191"/>
      <c r="F26" s="71"/>
      <c r="G26" s="71"/>
      <c r="H26" s="191"/>
      <c r="I26" s="1691">
        <f>+'geg LO'!F23</f>
        <v>0</v>
      </c>
      <c r="J26" s="1691">
        <f>+'geg LO'!G23</f>
        <v>0</v>
      </c>
      <c r="K26" s="1691">
        <f>+'geg LO'!H23</f>
        <v>0</v>
      </c>
      <c r="L26" s="1691">
        <f>+'geg LO'!I23</f>
        <v>0</v>
      </c>
      <c r="M26" s="1691">
        <f>+'geg LO'!J23</f>
        <v>0</v>
      </c>
      <c r="N26" s="1691">
        <f>+'geg LO'!K23</f>
        <v>0</v>
      </c>
      <c r="O26" s="1691">
        <f>+'geg LO'!L23</f>
        <v>0</v>
      </c>
      <c r="P26" s="191"/>
      <c r="Q26" s="78"/>
      <c r="R26" s="194"/>
    </row>
    <row r="27" spans="2:18" x14ac:dyDescent="0.2">
      <c r="B27" s="76"/>
      <c r="C27" s="191"/>
      <c r="D27" s="191" t="s">
        <v>394</v>
      </c>
      <c r="E27" s="191"/>
      <c r="F27" s="71"/>
      <c r="G27" s="71"/>
      <c r="H27" s="191"/>
      <c r="I27" s="1692">
        <f t="shared" ref="I27:O27" si="0">SUM(I24:I26)</f>
        <v>0</v>
      </c>
      <c r="J27" s="1692">
        <f t="shared" si="0"/>
        <v>0</v>
      </c>
      <c r="K27" s="1692">
        <f t="shared" si="0"/>
        <v>0</v>
      </c>
      <c r="L27" s="1692">
        <f t="shared" si="0"/>
        <v>0</v>
      </c>
      <c r="M27" s="1692">
        <f t="shared" si="0"/>
        <v>0</v>
      </c>
      <c r="N27" s="1692">
        <f t="shared" si="0"/>
        <v>0</v>
      </c>
      <c r="O27" s="1692">
        <f t="shared" si="0"/>
        <v>0</v>
      </c>
      <c r="P27" s="191"/>
      <c r="Q27" s="78"/>
      <c r="R27" s="194"/>
    </row>
    <row r="28" spans="2:18" x14ac:dyDescent="0.2">
      <c r="B28" s="76"/>
      <c r="C28" s="110"/>
      <c r="D28" s="110"/>
      <c r="E28" s="110"/>
      <c r="F28" s="113"/>
      <c r="G28" s="113"/>
      <c r="H28" s="110"/>
      <c r="I28" s="655"/>
      <c r="J28" s="655"/>
      <c r="K28" s="655"/>
      <c r="L28" s="655"/>
      <c r="M28" s="655"/>
      <c r="N28" s="655"/>
      <c r="O28" s="655"/>
      <c r="P28" s="81"/>
      <c r="Q28" s="78"/>
      <c r="R28" s="194"/>
    </row>
    <row r="29" spans="2:18" x14ac:dyDescent="0.2">
      <c r="B29" s="76"/>
      <c r="C29" s="77"/>
      <c r="D29" s="77"/>
      <c r="E29" s="77"/>
      <c r="F29" s="70"/>
      <c r="G29" s="70"/>
      <c r="H29" s="77"/>
      <c r="I29" s="70"/>
      <c r="J29" s="70"/>
      <c r="K29" s="70"/>
      <c r="L29" s="70"/>
      <c r="M29" s="70"/>
      <c r="N29" s="70"/>
      <c r="O29" s="70"/>
      <c r="P29" s="77"/>
      <c r="Q29" s="78"/>
      <c r="R29" s="194"/>
    </row>
    <row r="30" spans="2:18" x14ac:dyDescent="0.2">
      <c r="B30" s="76"/>
      <c r="C30" s="508"/>
      <c r="D30" s="508"/>
      <c r="E30" s="508"/>
      <c r="F30" s="79"/>
      <c r="G30" s="79"/>
      <c r="H30" s="508"/>
      <c r="I30" s="79"/>
      <c r="J30" s="79"/>
      <c r="K30" s="79"/>
      <c r="L30" s="79"/>
      <c r="M30" s="79"/>
      <c r="N30" s="79"/>
      <c r="O30" s="79"/>
      <c r="P30" s="508"/>
      <c r="Q30" s="78"/>
      <c r="R30" s="194"/>
    </row>
    <row r="31" spans="2:18" x14ac:dyDescent="0.2">
      <c r="B31" s="76"/>
      <c r="C31" s="508"/>
      <c r="D31" s="727" t="s">
        <v>889</v>
      </c>
      <c r="E31" s="508"/>
      <c r="F31" s="79"/>
      <c r="G31" s="79"/>
      <c r="H31" s="508"/>
      <c r="I31" s="79"/>
      <c r="J31" s="79"/>
      <c r="K31" s="79"/>
      <c r="L31" s="79"/>
      <c r="M31" s="79"/>
      <c r="N31" s="79"/>
      <c r="O31" s="79"/>
      <c r="P31" s="508"/>
      <c r="Q31" s="78"/>
      <c r="R31" s="194"/>
    </row>
    <row r="32" spans="2:18" x14ac:dyDescent="0.2">
      <c r="B32" s="76"/>
      <c r="C32" s="191"/>
      <c r="D32" s="189" t="s">
        <v>402</v>
      </c>
      <c r="E32" s="189"/>
      <c r="F32" s="71">
        <v>1</v>
      </c>
      <c r="G32" s="50"/>
      <c r="H32" s="191"/>
      <c r="I32" s="536">
        <f t="shared" ref="I32:O34" si="1">+I66+I71+I76+I81+I86+I91+I96+I101+I106+I111+I116+I121+I126+I131+I136+I141+I146+I151+I156+I161+I166+I171+I176+I181+I186+I191+I196+I201+I206+I211+I216+I221+I226+I231+I236</f>
        <v>0</v>
      </c>
      <c r="J32" s="536">
        <f t="shared" si="1"/>
        <v>0</v>
      </c>
      <c r="K32" s="536">
        <f>+K66+K71+K76+K81+K86+K91+K96+K101+K106+K111+K116+K121+K126+K131+K136+K141+K146+K151+K156+K161+K166+K171+K176+K181+K186+K191+K196+K201+K206+K211+K216+K221+K226+K231+K236</f>
        <v>0</v>
      </c>
      <c r="L32" s="536">
        <f t="shared" si="1"/>
        <v>0</v>
      </c>
      <c r="M32" s="536">
        <f t="shared" si="1"/>
        <v>0</v>
      </c>
      <c r="N32" s="536">
        <f t="shared" si="1"/>
        <v>0</v>
      </c>
      <c r="O32" s="536">
        <f t="shared" si="1"/>
        <v>0</v>
      </c>
      <c r="P32" s="191"/>
      <c r="Q32" s="78"/>
      <c r="R32" s="194"/>
    </row>
    <row r="33" spans="2:18" x14ac:dyDescent="0.2">
      <c r="B33" s="76"/>
      <c r="C33" s="191"/>
      <c r="D33" s="191"/>
      <c r="E33" s="191"/>
      <c r="F33" s="71">
        <v>2</v>
      </c>
      <c r="G33" s="50"/>
      <c r="H33" s="191"/>
      <c r="I33" s="536">
        <f t="shared" si="1"/>
        <v>0</v>
      </c>
      <c r="J33" s="536">
        <f t="shared" si="1"/>
        <v>0</v>
      </c>
      <c r="K33" s="536">
        <f>+K67+K72+K77+K82+K87+K92+K97+K102+K107+K112+K117+K122+K127+K132+K137+K142+K147+K152+K157+K162+K167+K172+K177+K182+K187+K192+K197+K202+K207+K212+K217+K222+K227+K232+K237</f>
        <v>0</v>
      </c>
      <c r="L33" s="536">
        <f t="shared" si="1"/>
        <v>0</v>
      </c>
      <c r="M33" s="536">
        <f t="shared" si="1"/>
        <v>0</v>
      </c>
      <c r="N33" s="536">
        <f t="shared" si="1"/>
        <v>0</v>
      </c>
      <c r="O33" s="536">
        <f t="shared" si="1"/>
        <v>0</v>
      </c>
      <c r="P33" s="191"/>
      <c r="Q33" s="78"/>
      <c r="R33" s="194"/>
    </row>
    <row r="34" spans="2:18" x14ac:dyDescent="0.2">
      <c r="B34" s="76"/>
      <c r="C34" s="191"/>
      <c r="D34" s="191"/>
      <c r="E34" s="191"/>
      <c r="F34" s="71">
        <v>3</v>
      </c>
      <c r="G34" s="50"/>
      <c r="H34" s="191"/>
      <c r="I34" s="536">
        <f t="shared" si="1"/>
        <v>0</v>
      </c>
      <c r="J34" s="536">
        <f t="shared" si="1"/>
        <v>0</v>
      </c>
      <c r="K34" s="536">
        <f t="shared" si="1"/>
        <v>0</v>
      </c>
      <c r="L34" s="536">
        <f t="shared" si="1"/>
        <v>0</v>
      </c>
      <c r="M34" s="536">
        <f t="shared" si="1"/>
        <v>0</v>
      </c>
      <c r="N34" s="536">
        <f t="shared" si="1"/>
        <v>0</v>
      </c>
      <c r="O34" s="536">
        <f t="shared" si="1"/>
        <v>0</v>
      </c>
      <c r="P34" s="191"/>
      <c r="Q34" s="78"/>
      <c r="R34" s="194"/>
    </row>
    <row r="35" spans="2:18" x14ac:dyDescent="0.2">
      <c r="B35" s="76"/>
      <c r="C35" s="191"/>
      <c r="D35" s="191"/>
      <c r="E35" s="191"/>
      <c r="F35" s="71"/>
      <c r="G35" s="115"/>
      <c r="H35" s="191"/>
      <c r="I35" s="601">
        <f t="shared" ref="I35:O35" si="2">SUM(I32:I34)</f>
        <v>0</v>
      </c>
      <c r="J35" s="601">
        <f t="shared" si="2"/>
        <v>0</v>
      </c>
      <c r="K35" s="601">
        <f t="shared" si="2"/>
        <v>0</v>
      </c>
      <c r="L35" s="601">
        <f t="shared" si="2"/>
        <v>0</v>
      </c>
      <c r="M35" s="601">
        <f t="shared" si="2"/>
        <v>0</v>
      </c>
      <c r="N35" s="601">
        <f t="shared" si="2"/>
        <v>0</v>
      </c>
      <c r="O35" s="601">
        <f t="shared" si="2"/>
        <v>0</v>
      </c>
      <c r="P35" s="191"/>
      <c r="Q35" s="78"/>
      <c r="R35" s="194"/>
    </row>
    <row r="36" spans="2:18" x14ac:dyDescent="0.2">
      <c r="B36" s="76"/>
      <c r="C36" s="191"/>
      <c r="D36" s="191"/>
      <c r="E36" s="191"/>
      <c r="F36" s="71"/>
      <c r="G36" s="113"/>
      <c r="H36" s="191"/>
      <c r="I36" s="71"/>
      <c r="J36" s="71"/>
      <c r="K36" s="71"/>
      <c r="L36" s="71"/>
      <c r="M36" s="71"/>
      <c r="N36" s="71"/>
      <c r="O36" s="71"/>
      <c r="P36" s="191"/>
      <c r="Q36" s="78"/>
      <c r="R36" s="194"/>
    </row>
    <row r="37" spans="2:18" x14ac:dyDescent="0.2">
      <c r="B37" s="80"/>
      <c r="C37" s="199"/>
      <c r="D37" s="199" t="s">
        <v>403</v>
      </c>
      <c r="E37" s="199"/>
      <c r="F37" s="71"/>
      <c r="G37" s="71"/>
      <c r="H37" s="199"/>
      <c r="I37" s="602">
        <f t="shared" ref="I37:O37" si="3">+I24+I25+I26+I241</f>
        <v>0</v>
      </c>
      <c r="J37" s="602">
        <f t="shared" si="3"/>
        <v>0</v>
      </c>
      <c r="K37" s="602">
        <f t="shared" si="3"/>
        <v>0</v>
      </c>
      <c r="L37" s="602">
        <f t="shared" si="3"/>
        <v>0</v>
      </c>
      <c r="M37" s="602">
        <f t="shared" si="3"/>
        <v>0</v>
      </c>
      <c r="N37" s="602">
        <f t="shared" si="3"/>
        <v>0</v>
      </c>
      <c r="O37" s="602">
        <f t="shared" si="3"/>
        <v>0</v>
      </c>
      <c r="P37" s="199"/>
      <c r="Q37" s="91"/>
      <c r="R37" s="194"/>
    </row>
    <row r="38" spans="2:18" x14ac:dyDescent="0.2">
      <c r="B38" s="76"/>
      <c r="C38" s="191"/>
      <c r="D38" s="191"/>
      <c r="E38" s="191"/>
      <c r="F38" s="71"/>
      <c r="G38" s="71"/>
      <c r="H38" s="191"/>
      <c r="I38" s="71"/>
      <c r="J38" s="71"/>
      <c r="K38" s="71"/>
      <c r="L38" s="71"/>
      <c r="M38" s="71"/>
      <c r="N38" s="71"/>
      <c r="O38" s="71"/>
      <c r="P38" s="191"/>
      <c r="Q38" s="78"/>
      <c r="R38" s="194"/>
    </row>
    <row r="39" spans="2:18" x14ac:dyDescent="0.2">
      <c r="B39" s="76"/>
      <c r="C39" s="182"/>
      <c r="D39" s="182"/>
      <c r="E39" s="182"/>
      <c r="F39" s="182"/>
      <c r="G39" s="182"/>
      <c r="H39" s="182"/>
      <c r="I39" s="182"/>
      <c r="J39" s="182"/>
      <c r="K39" s="182"/>
      <c r="L39" s="182"/>
      <c r="M39" s="182"/>
      <c r="N39" s="182"/>
      <c r="O39" s="182"/>
      <c r="P39" s="182"/>
      <c r="Q39" s="78"/>
      <c r="R39" s="194"/>
    </row>
    <row r="40" spans="2:18" x14ac:dyDescent="0.2">
      <c r="B40" s="76"/>
      <c r="C40" s="191"/>
      <c r="D40" s="191"/>
      <c r="E40" s="191"/>
      <c r="F40" s="71"/>
      <c r="G40" s="71"/>
      <c r="H40" s="191"/>
      <c r="I40" s="71"/>
      <c r="J40" s="71"/>
      <c r="K40" s="71"/>
      <c r="L40" s="71"/>
      <c r="M40" s="71"/>
      <c r="N40" s="71"/>
      <c r="O40" s="71"/>
      <c r="P40" s="191"/>
      <c r="Q40" s="78"/>
      <c r="R40" s="194"/>
    </row>
    <row r="41" spans="2:18" x14ac:dyDescent="0.2">
      <c r="B41" s="76"/>
      <c r="C41" s="191"/>
      <c r="D41" s="604" t="s">
        <v>219</v>
      </c>
      <c r="E41" s="604"/>
      <c r="F41" s="210"/>
      <c r="G41" s="210"/>
      <c r="H41" s="191"/>
      <c r="I41" s="71">
        <f t="shared" ref="I41:O41" si="4">+I19</f>
        <v>2013</v>
      </c>
      <c r="J41" s="71">
        <f t="shared" si="4"/>
        <v>2014</v>
      </c>
      <c r="K41" s="71">
        <f t="shared" si="4"/>
        <v>2015</v>
      </c>
      <c r="L41" s="71">
        <f t="shared" si="4"/>
        <v>2016</v>
      </c>
      <c r="M41" s="71">
        <f t="shared" si="4"/>
        <v>2017</v>
      </c>
      <c r="N41" s="71">
        <f t="shared" si="4"/>
        <v>2018</v>
      </c>
      <c r="O41" s="71">
        <f t="shared" si="4"/>
        <v>2019</v>
      </c>
      <c r="P41" s="191"/>
      <c r="Q41" s="78"/>
      <c r="R41" s="194"/>
    </row>
    <row r="42" spans="2:18" x14ac:dyDescent="0.2">
      <c r="B42" s="76"/>
      <c r="C42" s="191"/>
      <c r="D42" s="604"/>
      <c r="E42" s="604"/>
      <c r="F42" s="210"/>
      <c r="G42" s="210"/>
      <c r="H42" s="191"/>
      <c r="I42" s="71"/>
      <c r="J42" s="71"/>
      <c r="K42" s="71"/>
      <c r="L42" s="71"/>
      <c r="M42" s="71"/>
      <c r="N42" s="71"/>
      <c r="O42" s="71"/>
      <c r="P42" s="191"/>
      <c r="Q42" s="78"/>
      <c r="R42" s="194"/>
    </row>
    <row r="43" spans="2:18" x14ac:dyDescent="0.2">
      <c r="B43" s="76"/>
      <c r="C43" s="191"/>
      <c r="D43" s="191" t="s">
        <v>406</v>
      </c>
      <c r="E43" s="191"/>
      <c r="F43" s="210"/>
      <c r="G43" s="210"/>
      <c r="H43" s="191"/>
      <c r="I43" s="703">
        <f t="shared" ref="I43:O43" si="5">IF(I$27=0,0,+I32/I$27)</f>
        <v>0</v>
      </c>
      <c r="J43" s="703">
        <f t="shared" si="5"/>
        <v>0</v>
      </c>
      <c r="K43" s="703">
        <f t="shared" ref="K43:L45" si="6">IF(K$27=0,0,+K32/K$27)</f>
        <v>0</v>
      </c>
      <c r="L43" s="703">
        <f t="shared" si="6"/>
        <v>0</v>
      </c>
      <c r="M43" s="703">
        <f t="shared" si="5"/>
        <v>0</v>
      </c>
      <c r="N43" s="703">
        <f t="shared" si="5"/>
        <v>0</v>
      </c>
      <c r="O43" s="703">
        <f t="shared" si="5"/>
        <v>0</v>
      </c>
      <c r="P43" s="191"/>
      <c r="Q43" s="78"/>
      <c r="R43" s="194"/>
    </row>
    <row r="44" spans="2:18" x14ac:dyDescent="0.2">
      <c r="B44" s="76"/>
      <c r="C44" s="191"/>
      <c r="D44" s="191" t="s">
        <v>407</v>
      </c>
      <c r="E44" s="191"/>
      <c r="F44" s="210"/>
      <c r="G44" s="210"/>
      <c r="H44" s="191"/>
      <c r="I44" s="703">
        <f t="shared" ref="I44:O44" si="7">IF(I$27=0,0,+I33/I$27)</f>
        <v>0</v>
      </c>
      <c r="J44" s="703">
        <f t="shared" si="7"/>
        <v>0</v>
      </c>
      <c r="K44" s="703">
        <f t="shared" si="6"/>
        <v>0</v>
      </c>
      <c r="L44" s="703">
        <f t="shared" si="6"/>
        <v>0</v>
      </c>
      <c r="M44" s="703">
        <f t="shared" si="7"/>
        <v>0</v>
      </c>
      <c r="N44" s="703">
        <f t="shared" si="7"/>
        <v>0</v>
      </c>
      <c r="O44" s="703">
        <f t="shared" si="7"/>
        <v>0</v>
      </c>
      <c r="P44" s="191"/>
      <c r="Q44" s="78"/>
      <c r="R44" s="194"/>
    </row>
    <row r="45" spans="2:18" x14ac:dyDescent="0.2">
      <c r="B45" s="76"/>
      <c r="C45" s="191"/>
      <c r="D45" s="191" t="s">
        <v>408</v>
      </c>
      <c r="E45" s="191"/>
      <c r="F45" s="211"/>
      <c r="G45" s="211"/>
      <c r="H45" s="191"/>
      <c r="I45" s="703">
        <f t="shared" ref="I45:O45" si="8">IF(I$27=0,0,+I34/I$27)</f>
        <v>0</v>
      </c>
      <c r="J45" s="703">
        <f t="shared" si="8"/>
        <v>0</v>
      </c>
      <c r="K45" s="703">
        <f t="shared" si="6"/>
        <v>0</v>
      </c>
      <c r="L45" s="703">
        <f t="shared" si="6"/>
        <v>0</v>
      </c>
      <c r="M45" s="703">
        <f t="shared" si="8"/>
        <v>0</v>
      </c>
      <c r="N45" s="703">
        <f t="shared" si="8"/>
        <v>0</v>
      </c>
      <c r="O45" s="703">
        <f t="shared" si="8"/>
        <v>0</v>
      </c>
      <c r="P45" s="191"/>
      <c r="Q45" s="78"/>
      <c r="R45" s="194"/>
    </row>
    <row r="46" spans="2:18" x14ac:dyDescent="0.2">
      <c r="B46" s="76"/>
      <c r="C46" s="191"/>
      <c r="D46" s="191" t="s">
        <v>405</v>
      </c>
      <c r="E46" s="191"/>
      <c r="F46" s="71"/>
      <c r="G46" s="71"/>
      <c r="H46" s="191"/>
      <c r="I46" s="704">
        <f t="shared" ref="I46:O46" si="9">IF(I27=0,0,I35/I27)</f>
        <v>0</v>
      </c>
      <c r="J46" s="704">
        <f t="shared" si="9"/>
        <v>0</v>
      </c>
      <c r="K46" s="704">
        <f t="shared" si="9"/>
        <v>0</v>
      </c>
      <c r="L46" s="704">
        <f t="shared" si="9"/>
        <v>0</v>
      </c>
      <c r="M46" s="704">
        <f t="shared" si="9"/>
        <v>0</v>
      </c>
      <c r="N46" s="704">
        <f t="shared" si="9"/>
        <v>0</v>
      </c>
      <c r="O46" s="704">
        <f t="shared" si="9"/>
        <v>0</v>
      </c>
      <c r="P46" s="191"/>
      <c r="Q46" s="78"/>
      <c r="R46" s="194"/>
    </row>
    <row r="47" spans="2:18" x14ac:dyDescent="0.2">
      <c r="B47" s="76"/>
      <c r="C47" s="191"/>
      <c r="D47" s="191" t="s">
        <v>404</v>
      </c>
      <c r="E47" s="191"/>
      <c r="F47" s="71"/>
      <c r="G47" s="71"/>
      <c r="H47" s="191"/>
      <c r="I47" s="704">
        <f t="shared" ref="I47:O47" si="10">IF(I$37=0,0,+I$241/I$37)</f>
        <v>0</v>
      </c>
      <c r="J47" s="704">
        <f t="shared" si="10"/>
        <v>0</v>
      </c>
      <c r="K47" s="704">
        <f t="shared" si="10"/>
        <v>0</v>
      </c>
      <c r="L47" s="704">
        <f t="shared" si="10"/>
        <v>0</v>
      </c>
      <c r="M47" s="704">
        <f t="shared" si="10"/>
        <v>0</v>
      </c>
      <c r="N47" s="704">
        <f t="shared" si="10"/>
        <v>0</v>
      </c>
      <c r="O47" s="704">
        <f t="shared" si="10"/>
        <v>0</v>
      </c>
      <c r="P47" s="191"/>
      <c r="Q47" s="78"/>
      <c r="R47" s="194"/>
    </row>
    <row r="48" spans="2:18" x14ac:dyDescent="0.2">
      <c r="B48" s="76"/>
      <c r="C48" s="191"/>
      <c r="D48" s="191"/>
      <c r="E48" s="191"/>
      <c r="F48" s="71"/>
      <c r="G48" s="71"/>
      <c r="H48" s="191"/>
      <c r="I48" s="71"/>
      <c r="J48" s="71"/>
      <c r="K48" s="71"/>
      <c r="L48" s="71"/>
      <c r="M48" s="71"/>
      <c r="N48" s="71"/>
      <c r="O48" s="71"/>
      <c r="P48" s="191"/>
      <c r="Q48" s="78"/>
      <c r="R48" s="194"/>
    </row>
    <row r="49" spans="2:18" x14ac:dyDescent="0.2">
      <c r="B49" s="76"/>
      <c r="C49" s="110"/>
      <c r="D49" s="726" t="s">
        <v>532</v>
      </c>
      <c r="E49" s="110"/>
      <c r="F49" s="113"/>
      <c r="G49" s="113"/>
      <c r="H49" s="110"/>
      <c r="I49" s="113"/>
      <c r="J49" s="113"/>
      <c r="K49" s="113"/>
      <c r="L49" s="113"/>
      <c r="M49" s="113"/>
      <c r="N49" s="113"/>
      <c r="O49" s="113"/>
      <c r="P49" s="81"/>
      <c r="Q49" s="78"/>
      <c r="R49" s="194"/>
    </row>
    <row r="50" spans="2:18" x14ac:dyDescent="0.2">
      <c r="B50" s="76"/>
      <c r="C50" s="110"/>
      <c r="D50" s="110"/>
      <c r="E50" s="110"/>
      <c r="F50" s="113"/>
      <c r="G50" s="113"/>
      <c r="H50" s="110"/>
      <c r="I50" s="113"/>
      <c r="J50" s="113"/>
      <c r="K50" s="113"/>
      <c r="L50" s="113"/>
      <c r="M50" s="113"/>
      <c r="N50" s="113"/>
      <c r="O50" s="113"/>
      <c r="P50" s="735"/>
      <c r="Q50" s="78"/>
      <c r="R50" s="194"/>
    </row>
    <row r="51" spans="2:18" x14ac:dyDescent="0.2">
      <c r="B51" s="76"/>
      <c r="C51" s="110"/>
      <c r="D51" s="191" t="s">
        <v>406</v>
      </c>
      <c r="E51" s="110"/>
      <c r="F51" s="113"/>
      <c r="G51" s="113"/>
      <c r="H51" s="110"/>
      <c r="I51" s="703">
        <v>3.1539999999999999E-2</v>
      </c>
      <c r="J51" s="703">
        <v>3.1539999999999999E-2</v>
      </c>
      <c r="K51" s="703">
        <v>3.039E-2</v>
      </c>
      <c r="L51" s="852">
        <v>0</v>
      </c>
      <c r="M51" s="852">
        <v>0</v>
      </c>
      <c r="N51" s="852">
        <v>0</v>
      </c>
      <c r="O51" s="852">
        <v>0</v>
      </c>
      <c r="P51" s="735"/>
      <c r="Q51" s="78"/>
      <c r="R51" s="194"/>
    </row>
    <row r="52" spans="2:18" x14ac:dyDescent="0.2">
      <c r="B52" s="76"/>
      <c r="C52" s="110"/>
      <c r="D52" s="191" t="s">
        <v>407</v>
      </c>
      <c r="E52" s="110"/>
      <c r="F52" s="113"/>
      <c r="G52" s="113"/>
      <c r="H52" s="110"/>
      <c r="I52" s="703">
        <v>1.1299999999999999E-3</v>
      </c>
      <c r="J52" s="703">
        <v>1.17E-3</v>
      </c>
      <c r="K52" s="703">
        <v>1.15E-3</v>
      </c>
      <c r="L52" s="852">
        <v>0</v>
      </c>
      <c r="M52" s="852">
        <v>0</v>
      </c>
      <c r="N52" s="852">
        <v>0</v>
      </c>
      <c r="O52" s="852">
        <v>0</v>
      </c>
      <c r="P52" s="735"/>
      <c r="Q52" s="78"/>
      <c r="R52" s="194"/>
    </row>
    <row r="53" spans="2:18" x14ac:dyDescent="0.2">
      <c r="B53" s="76"/>
      <c r="C53" s="110"/>
      <c r="D53" s="191" t="s">
        <v>408</v>
      </c>
      <c r="E53" s="110"/>
      <c r="F53" s="113"/>
      <c r="G53" s="113"/>
      <c r="H53" s="110"/>
      <c r="I53" s="703">
        <v>3.3999999999999998E-3</v>
      </c>
      <c r="J53" s="703">
        <v>3.4499999999999999E-3</v>
      </c>
      <c r="K53" s="703">
        <v>3.1800000000000001E-3</v>
      </c>
      <c r="L53" s="852">
        <v>0</v>
      </c>
      <c r="M53" s="852">
        <v>0</v>
      </c>
      <c r="N53" s="852">
        <v>0</v>
      </c>
      <c r="O53" s="852">
        <v>0</v>
      </c>
      <c r="P53" s="735"/>
      <c r="Q53" s="78"/>
      <c r="R53" s="194"/>
    </row>
    <row r="54" spans="2:18" x14ac:dyDescent="0.2">
      <c r="B54" s="76"/>
      <c r="C54" s="110"/>
      <c r="D54" s="191" t="s">
        <v>883</v>
      </c>
      <c r="E54" s="110"/>
      <c r="F54" s="113"/>
      <c r="G54" s="113"/>
      <c r="H54" s="110"/>
      <c r="I54" s="703">
        <v>3.6069999999999998E-2</v>
      </c>
      <c r="J54" s="703">
        <v>3.6170000000000001E-2</v>
      </c>
      <c r="K54" s="703">
        <v>3.4720000000000001E-2</v>
      </c>
      <c r="L54" s="852">
        <v>0</v>
      </c>
      <c r="M54" s="852">
        <v>0</v>
      </c>
      <c r="N54" s="852">
        <v>0</v>
      </c>
      <c r="O54" s="852">
        <v>0</v>
      </c>
      <c r="P54" s="735"/>
      <c r="Q54" s="78"/>
      <c r="R54" s="194"/>
    </row>
    <row r="55" spans="2:18" x14ac:dyDescent="0.2">
      <c r="B55" s="76"/>
      <c r="C55" s="736"/>
      <c r="D55" s="736"/>
      <c r="E55" s="736"/>
      <c r="F55" s="585"/>
      <c r="G55" s="585"/>
      <c r="H55" s="736"/>
      <c r="I55" s="585"/>
      <c r="J55" s="585"/>
      <c r="K55" s="585"/>
      <c r="L55" s="585"/>
      <c r="M55" s="585"/>
      <c r="N55" s="585"/>
      <c r="O55" s="585"/>
      <c r="P55" s="507"/>
      <c r="Q55" s="78"/>
      <c r="R55" s="194"/>
    </row>
    <row r="56" spans="2:18" x14ac:dyDescent="0.2">
      <c r="B56" s="76"/>
      <c r="C56" s="181"/>
      <c r="D56" s="181"/>
      <c r="E56" s="181"/>
      <c r="F56" s="182"/>
      <c r="G56" s="182"/>
      <c r="H56" s="181"/>
      <c r="I56" s="182"/>
      <c r="J56" s="182"/>
      <c r="K56" s="182"/>
      <c r="L56" s="182"/>
      <c r="M56" s="182"/>
      <c r="N56" s="182"/>
      <c r="O56" s="182"/>
      <c r="P56" s="181"/>
      <c r="Q56" s="78"/>
      <c r="R56" s="194"/>
    </row>
    <row r="57" spans="2:18" x14ac:dyDescent="0.2">
      <c r="B57" s="76"/>
      <c r="C57" s="181"/>
      <c r="D57" s="181"/>
      <c r="E57" s="181"/>
      <c r="F57" s="182"/>
      <c r="G57" s="182"/>
      <c r="H57" s="181"/>
      <c r="I57" s="182"/>
      <c r="J57" s="182"/>
      <c r="K57" s="182"/>
      <c r="L57" s="182"/>
      <c r="M57" s="182"/>
      <c r="N57" s="182"/>
      <c r="O57" s="182"/>
      <c r="P57" s="181"/>
      <c r="Q57" s="78"/>
      <c r="R57" s="194"/>
    </row>
    <row r="58" spans="2:18" x14ac:dyDescent="0.2">
      <c r="B58" s="86"/>
      <c r="C58" s="731"/>
      <c r="D58" s="731"/>
      <c r="E58" s="731"/>
      <c r="F58" s="732"/>
      <c r="G58" s="732"/>
      <c r="H58" s="731"/>
      <c r="I58" s="732"/>
      <c r="J58" s="732"/>
      <c r="K58" s="732"/>
      <c r="L58" s="732"/>
      <c r="M58" s="732"/>
      <c r="N58" s="732"/>
      <c r="O58" s="732"/>
      <c r="P58" s="731"/>
      <c r="Q58" s="85"/>
      <c r="R58" s="194"/>
    </row>
    <row r="59" spans="2:18" x14ac:dyDescent="0.2">
      <c r="B59" s="72"/>
      <c r="C59" s="207"/>
      <c r="D59" s="207"/>
      <c r="E59" s="207"/>
      <c r="F59" s="208"/>
      <c r="G59" s="208"/>
      <c r="H59" s="207"/>
      <c r="I59" s="208"/>
      <c r="J59" s="208"/>
      <c r="K59" s="208"/>
      <c r="L59" s="208"/>
      <c r="M59" s="208"/>
      <c r="N59" s="208"/>
      <c r="O59" s="208"/>
      <c r="P59" s="207"/>
      <c r="Q59" s="75"/>
      <c r="R59" s="194"/>
    </row>
    <row r="60" spans="2:18" x14ac:dyDescent="0.2">
      <c r="B60" s="76"/>
      <c r="C60" s="181"/>
      <c r="D60" s="181"/>
      <c r="E60" s="181"/>
      <c r="F60" s="182"/>
      <c r="G60" s="182"/>
      <c r="H60" s="181"/>
      <c r="I60" s="728" t="str">
        <f t="shared" ref="I60:O60" si="11">+I18</f>
        <v>2014/15</v>
      </c>
      <c r="J60" s="728" t="str">
        <f t="shared" si="11"/>
        <v>2015/16</v>
      </c>
      <c r="K60" s="728" t="str">
        <f t="shared" si="11"/>
        <v>2016/17</v>
      </c>
      <c r="L60" s="728" t="str">
        <f t="shared" si="11"/>
        <v>2017/18</v>
      </c>
      <c r="M60" s="728" t="str">
        <f t="shared" si="11"/>
        <v>2018/19</v>
      </c>
      <c r="N60" s="728" t="str">
        <f t="shared" si="11"/>
        <v>2019/20</v>
      </c>
      <c r="O60" s="728" t="str">
        <f t="shared" si="11"/>
        <v>2020/21</v>
      </c>
      <c r="P60" s="181"/>
      <c r="Q60" s="78"/>
      <c r="R60" s="194"/>
    </row>
    <row r="61" spans="2:18" x14ac:dyDescent="0.2">
      <c r="B61" s="76"/>
      <c r="C61" s="181"/>
      <c r="D61" s="181"/>
      <c r="E61" s="181"/>
      <c r="F61" s="182"/>
      <c r="G61" s="182"/>
      <c r="H61" s="181"/>
      <c r="I61" s="729">
        <f>+J19-1</f>
        <v>2013</v>
      </c>
      <c r="J61" s="730">
        <f t="shared" ref="J61:O61" si="12">+J19</f>
        <v>2014</v>
      </c>
      <c r="K61" s="730">
        <f t="shared" si="12"/>
        <v>2015</v>
      </c>
      <c r="L61" s="730">
        <f t="shared" si="12"/>
        <v>2016</v>
      </c>
      <c r="M61" s="730">
        <f t="shared" si="12"/>
        <v>2017</v>
      </c>
      <c r="N61" s="730">
        <f t="shared" si="12"/>
        <v>2018</v>
      </c>
      <c r="O61" s="730">
        <f t="shared" si="12"/>
        <v>2019</v>
      </c>
      <c r="P61" s="181"/>
      <c r="Q61" s="78"/>
      <c r="R61" s="194"/>
    </row>
    <row r="62" spans="2:18" x14ac:dyDescent="0.2">
      <c r="B62" s="76"/>
      <c r="C62" s="181"/>
      <c r="D62" s="181"/>
      <c r="E62" s="181"/>
      <c r="F62" s="182"/>
      <c r="G62" s="182"/>
      <c r="H62" s="181"/>
      <c r="I62" s="182"/>
      <c r="J62" s="182"/>
      <c r="K62" s="182"/>
      <c r="L62" s="182"/>
      <c r="M62" s="182"/>
      <c r="N62" s="182"/>
      <c r="O62" s="182"/>
      <c r="P62" s="181"/>
      <c r="Q62" s="78"/>
      <c r="R62" s="194"/>
    </row>
    <row r="63" spans="2:18" x14ac:dyDescent="0.2">
      <c r="B63" s="76"/>
      <c r="C63" s="191"/>
      <c r="D63" s="191"/>
      <c r="E63" s="191"/>
      <c r="F63" s="71"/>
      <c r="G63" s="71"/>
      <c r="H63" s="191"/>
      <c r="I63" s="71"/>
      <c r="J63" s="71"/>
      <c r="K63" s="71"/>
      <c r="L63" s="71"/>
      <c r="M63" s="71"/>
      <c r="N63" s="71"/>
      <c r="O63" s="71"/>
      <c r="P63" s="191"/>
      <c r="Q63" s="78"/>
      <c r="R63" s="194"/>
    </row>
    <row r="64" spans="2:18" x14ac:dyDescent="0.2">
      <c r="B64" s="76"/>
      <c r="C64" s="191"/>
      <c r="D64" s="190" t="s">
        <v>401</v>
      </c>
      <c r="E64" s="191" t="s">
        <v>431</v>
      </c>
      <c r="F64" s="93" t="s">
        <v>38</v>
      </c>
      <c r="G64" s="93"/>
      <c r="H64" s="190"/>
      <c r="I64" s="66"/>
      <c r="J64" s="71"/>
      <c r="K64" s="71"/>
      <c r="L64" s="71"/>
      <c r="M64" s="71"/>
      <c r="N64" s="71"/>
      <c r="O64" s="71"/>
      <c r="P64" s="191"/>
      <c r="Q64" s="78"/>
      <c r="R64" s="194"/>
    </row>
    <row r="65" spans="2:35" x14ac:dyDescent="0.2">
      <c r="B65" s="76"/>
      <c r="C65" s="191"/>
      <c r="D65" s="191"/>
      <c r="E65" s="191"/>
      <c r="F65" s="71"/>
      <c r="G65" s="71"/>
      <c r="H65" s="191"/>
      <c r="I65" s="71"/>
      <c r="J65" s="71"/>
      <c r="K65" s="71"/>
      <c r="L65" s="71"/>
      <c r="M65" s="71"/>
      <c r="N65" s="71"/>
      <c r="O65" s="71"/>
      <c r="P65" s="191"/>
      <c r="Q65" s="78"/>
      <c r="R65" s="194"/>
    </row>
    <row r="66" spans="2:35" x14ac:dyDescent="0.2">
      <c r="B66" s="76"/>
      <c r="C66" s="191"/>
      <c r="D66" s="850" t="s">
        <v>987</v>
      </c>
      <c r="E66" s="849"/>
      <c r="F66" s="71">
        <v>1</v>
      </c>
      <c r="G66" s="71"/>
      <c r="H66" s="191"/>
      <c r="I66" s="152">
        <v>0</v>
      </c>
      <c r="J66" s="152">
        <v>0</v>
      </c>
      <c r="K66" s="152">
        <f>J66</f>
        <v>0</v>
      </c>
      <c r="L66" s="152">
        <f t="shared" ref="L66:O66" si="13">K66</f>
        <v>0</v>
      </c>
      <c r="M66" s="152">
        <f t="shared" si="13"/>
        <v>0</v>
      </c>
      <c r="N66" s="152">
        <f t="shared" si="13"/>
        <v>0</v>
      </c>
      <c r="O66" s="152">
        <f t="shared" si="13"/>
        <v>0</v>
      </c>
      <c r="P66" s="191"/>
      <c r="Q66" s="78"/>
      <c r="R66" s="194"/>
    </row>
    <row r="67" spans="2:35" x14ac:dyDescent="0.2">
      <c r="B67" s="76"/>
      <c r="C67" s="191"/>
      <c r="D67" s="191"/>
      <c r="E67" s="191"/>
      <c r="F67" s="71">
        <v>2</v>
      </c>
      <c r="G67" s="71"/>
      <c r="H67" s="191"/>
      <c r="I67" s="152">
        <v>0</v>
      </c>
      <c r="J67" s="152">
        <v>0</v>
      </c>
      <c r="K67" s="152">
        <f t="shared" ref="K67:O68" si="14">J67</f>
        <v>0</v>
      </c>
      <c r="L67" s="152">
        <f t="shared" si="14"/>
        <v>0</v>
      </c>
      <c r="M67" s="152">
        <f t="shared" si="14"/>
        <v>0</v>
      </c>
      <c r="N67" s="152">
        <f t="shared" si="14"/>
        <v>0</v>
      </c>
      <c r="O67" s="152">
        <f t="shared" si="14"/>
        <v>0</v>
      </c>
      <c r="P67" s="191"/>
      <c r="Q67" s="78"/>
      <c r="R67" s="194"/>
    </row>
    <row r="68" spans="2:35" x14ac:dyDescent="0.2">
      <c r="B68" s="76"/>
      <c r="C68" s="191"/>
      <c r="D68" s="191"/>
      <c r="E68" s="191"/>
      <c r="F68" s="71">
        <v>3</v>
      </c>
      <c r="G68" s="71"/>
      <c r="H68" s="191"/>
      <c r="I68" s="152">
        <v>0</v>
      </c>
      <c r="J68" s="152">
        <v>0</v>
      </c>
      <c r="K68" s="152">
        <f t="shared" si="14"/>
        <v>0</v>
      </c>
      <c r="L68" s="152">
        <f t="shared" si="14"/>
        <v>0</v>
      </c>
      <c r="M68" s="152">
        <f t="shared" si="14"/>
        <v>0</v>
      </c>
      <c r="N68" s="152">
        <f t="shared" si="14"/>
        <v>0</v>
      </c>
      <c r="O68" s="152">
        <f t="shared" si="14"/>
        <v>0</v>
      </c>
      <c r="P68" s="191"/>
      <c r="Q68" s="78"/>
      <c r="R68" s="194"/>
    </row>
    <row r="69" spans="2:35" hidden="1" x14ac:dyDescent="0.2">
      <c r="B69" s="76"/>
      <c r="C69" s="191"/>
      <c r="D69" s="493" t="s">
        <v>392</v>
      </c>
      <c r="E69" s="493"/>
      <c r="F69" s="71"/>
      <c r="G69" s="71"/>
      <c r="H69" s="191"/>
      <c r="I69" s="592">
        <f>tab!$D$78</f>
        <v>41.12</v>
      </c>
      <c r="J69" s="592">
        <f>tab!$F$78</f>
        <v>41.48</v>
      </c>
      <c r="K69" s="592">
        <f t="shared" ref="K69:L69" si="15">+J69</f>
        <v>41.48</v>
      </c>
      <c r="L69" s="592">
        <f t="shared" si="15"/>
        <v>41.48</v>
      </c>
      <c r="M69" s="592">
        <f>+L69</f>
        <v>41.48</v>
      </c>
      <c r="N69" s="592">
        <f>+M69</f>
        <v>41.48</v>
      </c>
      <c r="O69" s="592">
        <f t="shared" ref="O69" si="16">+N69</f>
        <v>41.48</v>
      </c>
      <c r="P69" s="191"/>
      <c r="Q69" s="78"/>
      <c r="R69" s="194"/>
    </row>
    <row r="70" spans="2:35" x14ac:dyDescent="0.2">
      <c r="B70" s="76"/>
      <c r="C70" s="191"/>
      <c r="D70" s="191"/>
      <c r="E70" s="191"/>
      <c r="F70" s="71"/>
      <c r="G70" s="71"/>
      <c r="H70" s="191"/>
      <c r="I70" s="202"/>
      <c r="J70" s="71"/>
      <c r="K70" s="71"/>
      <c r="L70" s="71"/>
      <c r="M70" s="71"/>
      <c r="N70" s="71"/>
      <c r="O70" s="71"/>
      <c r="P70" s="191"/>
      <c r="Q70" s="78"/>
      <c r="R70" s="194"/>
    </row>
    <row r="71" spans="2:35" x14ac:dyDescent="0.2">
      <c r="B71" s="76"/>
      <c r="C71" s="191"/>
      <c r="D71" s="850" t="s">
        <v>988</v>
      </c>
      <c r="E71" s="850"/>
      <c r="F71" s="71">
        <v>1</v>
      </c>
      <c r="G71" s="71"/>
      <c r="H71" s="191"/>
      <c r="I71" s="152">
        <v>0</v>
      </c>
      <c r="J71" s="152">
        <v>0</v>
      </c>
      <c r="K71" s="152">
        <f t="shared" ref="K71:M74" si="17">+J71</f>
        <v>0</v>
      </c>
      <c r="L71" s="152">
        <f t="shared" si="17"/>
        <v>0</v>
      </c>
      <c r="M71" s="152">
        <f t="shared" si="17"/>
        <v>0</v>
      </c>
      <c r="N71" s="152">
        <f>+M71</f>
        <v>0</v>
      </c>
      <c r="O71" s="152">
        <f t="shared" ref="O71:O74" si="18">+N71</f>
        <v>0</v>
      </c>
      <c r="P71" s="191"/>
      <c r="Q71" s="78"/>
      <c r="R71" s="194"/>
    </row>
    <row r="72" spans="2:35" x14ac:dyDescent="0.2">
      <c r="B72" s="76"/>
      <c r="C72" s="191"/>
      <c r="D72" s="191"/>
      <c r="E72" s="191"/>
      <c r="F72" s="71">
        <v>2</v>
      </c>
      <c r="G72" s="71"/>
      <c r="H72" s="191"/>
      <c r="I72" s="152">
        <v>0</v>
      </c>
      <c r="J72" s="152">
        <v>0</v>
      </c>
      <c r="K72" s="152">
        <f t="shared" si="17"/>
        <v>0</v>
      </c>
      <c r="L72" s="152">
        <f t="shared" si="17"/>
        <v>0</v>
      </c>
      <c r="M72" s="152">
        <f t="shared" si="17"/>
        <v>0</v>
      </c>
      <c r="N72" s="152">
        <f>+M72</f>
        <v>0</v>
      </c>
      <c r="O72" s="152">
        <f t="shared" si="18"/>
        <v>0</v>
      </c>
      <c r="P72" s="191"/>
      <c r="Q72" s="78"/>
      <c r="R72" s="194"/>
      <c r="AF72" s="196"/>
    </row>
    <row r="73" spans="2:35" x14ac:dyDescent="0.2">
      <c r="B73" s="76"/>
      <c r="C73" s="191"/>
      <c r="D73" s="191"/>
      <c r="E73" s="191"/>
      <c r="F73" s="71">
        <v>3</v>
      </c>
      <c r="G73" s="71"/>
      <c r="H73" s="191"/>
      <c r="I73" s="152">
        <v>0</v>
      </c>
      <c r="J73" s="152">
        <v>0</v>
      </c>
      <c r="K73" s="152">
        <f t="shared" si="17"/>
        <v>0</v>
      </c>
      <c r="L73" s="152">
        <f t="shared" si="17"/>
        <v>0</v>
      </c>
      <c r="M73" s="152">
        <f t="shared" si="17"/>
        <v>0</v>
      </c>
      <c r="N73" s="152">
        <f>+M73</f>
        <v>0</v>
      </c>
      <c r="O73" s="152">
        <f t="shared" si="18"/>
        <v>0</v>
      </c>
      <c r="P73" s="191"/>
      <c r="Q73" s="78"/>
      <c r="R73" s="194"/>
    </row>
    <row r="74" spans="2:35" hidden="1" x14ac:dyDescent="0.2">
      <c r="B74" s="76"/>
      <c r="C74" s="191"/>
      <c r="D74" s="493" t="s">
        <v>392</v>
      </c>
      <c r="E74" s="493"/>
      <c r="F74" s="71"/>
      <c r="G74" s="71"/>
      <c r="H74" s="191"/>
      <c r="I74" s="592">
        <f>tab!$D$78</f>
        <v>41.12</v>
      </c>
      <c r="J74" s="592">
        <f>tab!$D$78</f>
        <v>41.12</v>
      </c>
      <c r="K74" s="592">
        <f t="shared" si="17"/>
        <v>41.12</v>
      </c>
      <c r="L74" s="592">
        <f t="shared" si="17"/>
        <v>41.12</v>
      </c>
      <c r="M74" s="592">
        <f t="shared" si="17"/>
        <v>41.12</v>
      </c>
      <c r="N74" s="592">
        <f>+M74</f>
        <v>41.12</v>
      </c>
      <c r="O74" s="592">
        <f t="shared" si="18"/>
        <v>41.12</v>
      </c>
      <c r="P74" s="191"/>
      <c r="Q74" s="78"/>
      <c r="R74" s="194"/>
      <c r="AF74" s="196"/>
    </row>
    <row r="75" spans="2:35" x14ac:dyDescent="0.2">
      <c r="B75" s="76"/>
      <c r="C75" s="191"/>
      <c r="D75" s="191"/>
      <c r="E75" s="191"/>
      <c r="F75" s="71"/>
      <c r="G75" s="71"/>
      <c r="H75" s="191"/>
      <c r="I75" s="202"/>
      <c r="J75" s="202"/>
      <c r="K75" s="71"/>
      <c r="L75" s="71"/>
      <c r="M75" s="71"/>
      <c r="N75" s="71"/>
      <c r="O75" s="71"/>
      <c r="P75" s="191"/>
      <c r="Q75" s="78"/>
      <c r="R75" s="194"/>
    </row>
    <row r="76" spans="2:35" x14ac:dyDescent="0.2">
      <c r="B76" s="76"/>
      <c r="C76" s="191"/>
      <c r="D76" s="850" t="s">
        <v>989</v>
      </c>
      <c r="E76" s="850"/>
      <c r="F76" s="71">
        <v>1</v>
      </c>
      <c r="G76" s="71"/>
      <c r="H76" s="191"/>
      <c r="I76" s="152">
        <v>0</v>
      </c>
      <c r="J76" s="152">
        <v>0</v>
      </c>
      <c r="K76" s="152">
        <f t="shared" ref="K76:M79" si="19">+J76</f>
        <v>0</v>
      </c>
      <c r="L76" s="152">
        <f t="shared" si="19"/>
        <v>0</v>
      </c>
      <c r="M76" s="152">
        <f t="shared" si="19"/>
        <v>0</v>
      </c>
      <c r="N76" s="152">
        <f>+M76</f>
        <v>0</v>
      </c>
      <c r="O76" s="152">
        <f t="shared" ref="O76:O79" si="20">+N76</f>
        <v>0</v>
      </c>
      <c r="P76" s="191"/>
      <c r="Q76" s="78"/>
      <c r="R76" s="194"/>
      <c r="AG76" s="196"/>
      <c r="AH76" s="196"/>
      <c r="AI76" s="196"/>
    </row>
    <row r="77" spans="2:35" x14ac:dyDescent="0.2">
      <c r="B77" s="76"/>
      <c r="C77" s="191"/>
      <c r="D77" s="191"/>
      <c r="E77" s="191"/>
      <c r="F77" s="71">
        <v>2</v>
      </c>
      <c r="G77" s="71"/>
      <c r="H77" s="191"/>
      <c r="I77" s="152">
        <v>0</v>
      </c>
      <c r="J77" s="152">
        <v>0</v>
      </c>
      <c r="K77" s="152">
        <f t="shared" si="19"/>
        <v>0</v>
      </c>
      <c r="L77" s="152">
        <f t="shared" si="19"/>
        <v>0</v>
      </c>
      <c r="M77" s="152">
        <f t="shared" si="19"/>
        <v>0</v>
      </c>
      <c r="N77" s="152">
        <f>+M77</f>
        <v>0</v>
      </c>
      <c r="O77" s="152">
        <f t="shared" si="20"/>
        <v>0</v>
      </c>
      <c r="P77" s="191"/>
      <c r="Q77" s="78"/>
      <c r="R77" s="194"/>
    </row>
    <row r="78" spans="2:35" x14ac:dyDescent="0.2">
      <c r="B78" s="76"/>
      <c r="C78" s="191"/>
      <c r="D78" s="191"/>
      <c r="E78" s="191"/>
      <c r="F78" s="71">
        <v>3</v>
      </c>
      <c r="G78" s="71"/>
      <c r="H78" s="191"/>
      <c r="I78" s="152">
        <v>0</v>
      </c>
      <c r="J78" s="152">
        <v>0</v>
      </c>
      <c r="K78" s="152">
        <f t="shared" si="19"/>
        <v>0</v>
      </c>
      <c r="L78" s="152">
        <f t="shared" si="19"/>
        <v>0</v>
      </c>
      <c r="M78" s="152">
        <f t="shared" si="19"/>
        <v>0</v>
      </c>
      <c r="N78" s="152">
        <f>+M78</f>
        <v>0</v>
      </c>
      <c r="O78" s="152">
        <f t="shared" si="20"/>
        <v>0</v>
      </c>
      <c r="P78" s="191"/>
      <c r="Q78" s="78"/>
      <c r="R78" s="194"/>
    </row>
    <row r="79" spans="2:35" hidden="1" x14ac:dyDescent="0.2">
      <c r="B79" s="76"/>
      <c r="C79" s="191"/>
      <c r="D79" s="493" t="s">
        <v>392</v>
      </c>
      <c r="E79" s="493"/>
      <c r="F79" s="71"/>
      <c r="G79" s="71"/>
      <c r="H79" s="191"/>
      <c r="I79" s="592">
        <f>tab!$D$78</f>
        <v>41.12</v>
      </c>
      <c r="J79" s="592">
        <f>tab!$D$78</f>
        <v>41.12</v>
      </c>
      <c r="K79" s="592">
        <f t="shared" si="19"/>
        <v>41.12</v>
      </c>
      <c r="L79" s="592">
        <f t="shared" si="19"/>
        <v>41.12</v>
      </c>
      <c r="M79" s="592">
        <f t="shared" si="19"/>
        <v>41.12</v>
      </c>
      <c r="N79" s="592">
        <f>+M79</f>
        <v>41.12</v>
      </c>
      <c r="O79" s="592">
        <f t="shared" si="20"/>
        <v>41.12</v>
      </c>
      <c r="P79" s="191"/>
      <c r="Q79" s="78"/>
      <c r="R79" s="194"/>
    </row>
    <row r="80" spans="2:35" x14ac:dyDescent="0.2">
      <c r="B80" s="76"/>
      <c r="C80" s="191"/>
      <c r="D80" s="191"/>
      <c r="E80" s="191"/>
      <c r="F80" s="71"/>
      <c r="G80" s="71"/>
      <c r="H80" s="191"/>
      <c r="I80" s="202"/>
      <c r="J80" s="202"/>
      <c r="K80" s="71"/>
      <c r="L80" s="71"/>
      <c r="M80" s="71"/>
      <c r="N80" s="71"/>
      <c r="O80" s="71"/>
      <c r="P80" s="191"/>
      <c r="Q80" s="78"/>
      <c r="R80" s="194"/>
    </row>
    <row r="81" spans="2:35" x14ac:dyDescent="0.2">
      <c r="B81" s="76"/>
      <c r="C81" s="191"/>
      <c r="D81" s="850" t="s">
        <v>990</v>
      </c>
      <c r="E81" s="850"/>
      <c r="F81" s="71">
        <v>1</v>
      </c>
      <c r="G81" s="71"/>
      <c r="H81" s="191"/>
      <c r="I81" s="152">
        <v>0</v>
      </c>
      <c r="J81" s="152">
        <v>0</v>
      </c>
      <c r="K81" s="152">
        <f>J81</f>
        <v>0</v>
      </c>
      <c r="L81" s="152">
        <f t="shared" ref="K81:M84" si="21">+K81</f>
        <v>0</v>
      </c>
      <c r="M81" s="152">
        <f t="shared" si="21"/>
        <v>0</v>
      </c>
      <c r="N81" s="152">
        <f>+M81</f>
        <v>0</v>
      </c>
      <c r="O81" s="152">
        <f t="shared" ref="O81:O84" si="22">+N81</f>
        <v>0</v>
      </c>
      <c r="P81" s="191"/>
      <c r="Q81" s="78"/>
      <c r="R81" s="194"/>
    </row>
    <row r="82" spans="2:35" x14ac:dyDescent="0.2">
      <c r="B82" s="76"/>
      <c r="C82" s="191"/>
      <c r="D82" s="191"/>
      <c r="E82" s="191"/>
      <c r="F82" s="71">
        <v>2</v>
      </c>
      <c r="G82" s="71"/>
      <c r="H82" s="191"/>
      <c r="I82" s="152">
        <v>0</v>
      </c>
      <c r="J82" s="152">
        <v>0</v>
      </c>
      <c r="K82" s="152">
        <f t="shared" ref="K82:K83" si="23">J82</f>
        <v>0</v>
      </c>
      <c r="L82" s="152">
        <f t="shared" si="21"/>
        <v>0</v>
      </c>
      <c r="M82" s="152">
        <f t="shared" si="21"/>
        <v>0</v>
      </c>
      <c r="N82" s="152">
        <f>+M82</f>
        <v>0</v>
      </c>
      <c r="O82" s="152">
        <f t="shared" si="22"/>
        <v>0</v>
      </c>
      <c r="P82" s="191"/>
      <c r="Q82" s="78"/>
      <c r="R82" s="194"/>
      <c r="AG82" s="196"/>
      <c r="AH82" s="196"/>
      <c r="AI82" s="196"/>
    </row>
    <row r="83" spans="2:35" x14ac:dyDescent="0.2">
      <c r="B83" s="76"/>
      <c r="C83" s="191"/>
      <c r="D83" s="191"/>
      <c r="E83" s="191"/>
      <c r="F83" s="71">
        <v>3</v>
      </c>
      <c r="G83" s="71"/>
      <c r="H83" s="191"/>
      <c r="I83" s="152">
        <v>0</v>
      </c>
      <c r="J83" s="152">
        <v>0</v>
      </c>
      <c r="K83" s="152">
        <f t="shared" si="23"/>
        <v>0</v>
      </c>
      <c r="L83" s="152">
        <f t="shared" si="21"/>
        <v>0</v>
      </c>
      <c r="M83" s="152">
        <f t="shared" si="21"/>
        <v>0</v>
      </c>
      <c r="N83" s="152">
        <f>+M83</f>
        <v>0</v>
      </c>
      <c r="O83" s="152">
        <f t="shared" si="22"/>
        <v>0</v>
      </c>
      <c r="P83" s="191"/>
      <c r="Q83" s="78"/>
      <c r="R83" s="194"/>
    </row>
    <row r="84" spans="2:35" hidden="1" x14ac:dyDescent="0.2">
      <c r="B84" s="76"/>
      <c r="C84" s="191"/>
      <c r="D84" s="493" t="s">
        <v>392</v>
      </c>
      <c r="E84" s="493"/>
      <c r="F84" s="71"/>
      <c r="G84" s="71"/>
      <c r="H84" s="191"/>
      <c r="I84" s="592">
        <f>tab!$D$78</f>
        <v>41.12</v>
      </c>
      <c r="J84" s="592">
        <f>tab!$D$78</f>
        <v>41.12</v>
      </c>
      <c r="K84" s="592">
        <f t="shared" si="21"/>
        <v>41.12</v>
      </c>
      <c r="L84" s="592">
        <f t="shared" si="21"/>
        <v>41.12</v>
      </c>
      <c r="M84" s="592">
        <f t="shared" si="21"/>
        <v>41.12</v>
      </c>
      <c r="N84" s="592">
        <f>+M84</f>
        <v>41.12</v>
      </c>
      <c r="O84" s="592">
        <f t="shared" si="22"/>
        <v>41.12</v>
      </c>
      <c r="P84" s="191"/>
      <c r="Q84" s="78"/>
      <c r="R84" s="194"/>
    </row>
    <row r="85" spans="2:35" x14ac:dyDescent="0.2">
      <c r="B85" s="76"/>
      <c r="C85" s="191"/>
      <c r="D85" s="191"/>
      <c r="E85" s="191"/>
      <c r="F85" s="71"/>
      <c r="G85" s="71"/>
      <c r="H85" s="191"/>
      <c r="I85" s="202"/>
      <c r="J85" s="202"/>
      <c r="K85" s="71"/>
      <c r="L85" s="71"/>
      <c r="M85" s="71"/>
      <c r="N85" s="71"/>
      <c r="O85" s="71"/>
      <c r="P85" s="191"/>
      <c r="Q85" s="78"/>
      <c r="R85" s="194"/>
    </row>
    <row r="86" spans="2:35" x14ac:dyDescent="0.2">
      <c r="B86" s="76"/>
      <c r="C86" s="191"/>
      <c r="D86" s="850" t="s">
        <v>991</v>
      </c>
      <c r="E86" s="850"/>
      <c r="F86" s="71">
        <v>1</v>
      </c>
      <c r="G86" s="71"/>
      <c r="H86" s="191"/>
      <c r="I86" s="152">
        <v>0</v>
      </c>
      <c r="J86" s="152">
        <v>0</v>
      </c>
      <c r="K86" s="152">
        <f>J86</f>
        <v>0</v>
      </c>
      <c r="L86" s="152">
        <f t="shared" ref="K86:M89" si="24">+K86</f>
        <v>0</v>
      </c>
      <c r="M86" s="152">
        <f t="shared" si="24"/>
        <v>0</v>
      </c>
      <c r="N86" s="152">
        <f>+M86</f>
        <v>0</v>
      </c>
      <c r="O86" s="152">
        <f t="shared" ref="O86:O89" si="25">+N86</f>
        <v>0</v>
      </c>
      <c r="P86" s="191"/>
      <c r="Q86" s="78"/>
      <c r="R86" s="194"/>
    </row>
    <row r="87" spans="2:35" x14ac:dyDescent="0.2">
      <c r="B87" s="76"/>
      <c r="C87" s="191"/>
      <c r="D87" s="191"/>
      <c r="E87" s="191"/>
      <c r="F87" s="71">
        <v>2</v>
      </c>
      <c r="G87" s="71"/>
      <c r="H87" s="191"/>
      <c r="I87" s="152">
        <v>0</v>
      </c>
      <c r="J87" s="152">
        <v>0</v>
      </c>
      <c r="K87" s="152">
        <f t="shared" ref="K87:K88" si="26">J87</f>
        <v>0</v>
      </c>
      <c r="L87" s="152">
        <f t="shared" si="24"/>
        <v>0</v>
      </c>
      <c r="M87" s="152">
        <f t="shared" si="24"/>
        <v>0</v>
      </c>
      <c r="N87" s="152">
        <f>+M87</f>
        <v>0</v>
      </c>
      <c r="O87" s="152">
        <f t="shared" si="25"/>
        <v>0</v>
      </c>
      <c r="P87" s="191"/>
      <c r="Q87" s="78"/>
      <c r="R87" s="194"/>
    </row>
    <row r="88" spans="2:35" x14ac:dyDescent="0.2">
      <c r="B88" s="76"/>
      <c r="C88" s="191"/>
      <c r="D88" s="191"/>
      <c r="E88" s="191"/>
      <c r="F88" s="71">
        <v>3</v>
      </c>
      <c r="G88" s="71"/>
      <c r="H88" s="191"/>
      <c r="I88" s="152">
        <v>0</v>
      </c>
      <c r="J88" s="152">
        <v>0</v>
      </c>
      <c r="K88" s="152">
        <f t="shared" si="26"/>
        <v>0</v>
      </c>
      <c r="L88" s="152">
        <f t="shared" si="24"/>
        <v>0</v>
      </c>
      <c r="M88" s="152">
        <f t="shared" si="24"/>
        <v>0</v>
      </c>
      <c r="N88" s="152">
        <f>+M88</f>
        <v>0</v>
      </c>
      <c r="O88" s="152">
        <f t="shared" si="25"/>
        <v>0</v>
      </c>
      <c r="P88" s="191"/>
      <c r="Q88" s="78"/>
      <c r="R88" s="194"/>
      <c r="AG88" s="196"/>
      <c r="AH88" s="196"/>
      <c r="AI88" s="196"/>
    </row>
    <row r="89" spans="2:35" hidden="1" x14ac:dyDescent="0.2">
      <c r="B89" s="76"/>
      <c r="C89" s="191"/>
      <c r="D89" s="493" t="s">
        <v>392</v>
      </c>
      <c r="E89" s="493"/>
      <c r="F89" s="71"/>
      <c r="G89" s="71"/>
      <c r="H89" s="191"/>
      <c r="I89" s="592">
        <f>tab!$D$78</f>
        <v>41.12</v>
      </c>
      <c r="J89" s="592">
        <f>tab!$D$78</f>
        <v>41.12</v>
      </c>
      <c r="K89" s="592">
        <f t="shared" si="24"/>
        <v>41.12</v>
      </c>
      <c r="L89" s="592">
        <f t="shared" si="24"/>
        <v>41.12</v>
      </c>
      <c r="M89" s="592">
        <f t="shared" si="24"/>
        <v>41.12</v>
      </c>
      <c r="N89" s="592">
        <f>+M89</f>
        <v>41.12</v>
      </c>
      <c r="O89" s="592">
        <f t="shared" si="25"/>
        <v>41.12</v>
      </c>
      <c r="P89" s="191"/>
      <c r="Q89" s="78"/>
      <c r="R89" s="194"/>
    </row>
    <row r="90" spans="2:35" x14ac:dyDescent="0.2">
      <c r="B90" s="76"/>
      <c r="C90" s="191"/>
      <c r="D90" s="191"/>
      <c r="E90" s="191"/>
      <c r="F90" s="71"/>
      <c r="G90" s="71"/>
      <c r="H90" s="191"/>
      <c r="I90" s="202"/>
      <c r="J90" s="202"/>
      <c r="K90" s="71"/>
      <c r="L90" s="71"/>
      <c r="M90" s="71"/>
      <c r="N90" s="71"/>
      <c r="O90" s="71"/>
      <c r="P90" s="191"/>
      <c r="Q90" s="78"/>
      <c r="R90" s="194"/>
    </row>
    <row r="91" spans="2:35" x14ac:dyDescent="0.2">
      <c r="B91" s="76"/>
      <c r="C91" s="191"/>
      <c r="D91" s="850" t="s">
        <v>992</v>
      </c>
      <c r="E91" s="850"/>
      <c r="F91" s="71">
        <v>1</v>
      </c>
      <c r="G91" s="71"/>
      <c r="H91" s="191"/>
      <c r="I91" s="152">
        <v>0</v>
      </c>
      <c r="J91" s="152">
        <v>0</v>
      </c>
      <c r="K91" s="152">
        <f>J91</f>
        <v>0</v>
      </c>
      <c r="L91" s="152">
        <f t="shared" ref="L91:O91" si="27">K91</f>
        <v>0</v>
      </c>
      <c r="M91" s="152">
        <f t="shared" si="27"/>
        <v>0</v>
      </c>
      <c r="N91" s="152">
        <f t="shared" si="27"/>
        <v>0</v>
      </c>
      <c r="O91" s="152">
        <f t="shared" si="27"/>
        <v>0</v>
      </c>
      <c r="P91" s="191"/>
      <c r="Q91" s="78"/>
      <c r="R91" s="194"/>
    </row>
    <row r="92" spans="2:35" x14ac:dyDescent="0.2">
      <c r="B92" s="76"/>
      <c r="C92" s="191"/>
      <c r="D92" s="191"/>
      <c r="E92" s="191"/>
      <c r="F92" s="71">
        <v>2</v>
      </c>
      <c r="G92" s="71"/>
      <c r="H92" s="191"/>
      <c r="I92" s="152">
        <v>0</v>
      </c>
      <c r="J92" s="152">
        <v>0</v>
      </c>
      <c r="K92" s="152">
        <f t="shared" ref="K92:O93" si="28">J92</f>
        <v>0</v>
      </c>
      <c r="L92" s="152">
        <f t="shared" si="28"/>
        <v>0</v>
      </c>
      <c r="M92" s="152">
        <f t="shared" si="28"/>
        <v>0</v>
      </c>
      <c r="N92" s="152">
        <f t="shared" si="28"/>
        <v>0</v>
      </c>
      <c r="O92" s="152">
        <f t="shared" si="28"/>
        <v>0</v>
      </c>
      <c r="P92" s="191"/>
      <c r="Q92" s="78"/>
      <c r="R92" s="194"/>
      <c r="AF92" s="196"/>
    </row>
    <row r="93" spans="2:35" x14ac:dyDescent="0.2">
      <c r="B93" s="76"/>
      <c r="C93" s="191"/>
      <c r="D93" s="191"/>
      <c r="E93" s="191"/>
      <c r="F93" s="71">
        <v>3</v>
      </c>
      <c r="G93" s="71"/>
      <c r="H93" s="191"/>
      <c r="I93" s="152">
        <v>0</v>
      </c>
      <c r="J93" s="152">
        <v>0</v>
      </c>
      <c r="K93" s="152">
        <f t="shared" si="28"/>
        <v>0</v>
      </c>
      <c r="L93" s="152">
        <f t="shared" si="28"/>
        <v>0</v>
      </c>
      <c r="M93" s="152">
        <f t="shared" si="28"/>
        <v>0</v>
      </c>
      <c r="N93" s="152">
        <f t="shared" si="28"/>
        <v>0</v>
      </c>
      <c r="O93" s="152">
        <f t="shared" si="28"/>
        <v>0</v>
      </c>
      <c r="P93" s="191"/>
      <c r="Q93" s="78"/>
      <c r="R93" s="194"/>
    </row>
    <row r="94" spans="2:35" hidden="1" x14ac:dyDescent="0.2">
      <c r="B94" s="76"/>
      <c r="C94" s="191"/>
      <c r="D94" s="493" t="s">
        <v>392</v>
      </c>
      <c r="E94" s="493"/>
      <c r="F94" s="71"/>
      <c r="G94" s="71"/>
      <c r="H94" s="191"/>
      <c r="I94" s="592">
        <f>tab!$D$78</f>
        <v>41.12</v>
      </c>
      <c r="J94" s="592">
        <f>tab!$D$78</f>
        <v>41.12</v>
      </c>
      <c r="K94" s="592">
        <f t="shared" ref="K94:M94" si="29">+J94</f>
        <v>41.12</v>
      </c>
      <c r="L94" s="592">
        <f t="shared" si="29"/>
        <v>41.12</v>
      </c>
      <c r="M94" s="592">
        <f t="shared" si="29"/>
        <v>41.12</v>
      </c>
      <c r="N94" s="592">
        <f>+M94</f>
        <v>41.12</v>
      </c>
      <c r="O94" s="592">
        <f t="shared" ref="O94" si="30">+N94</f>
        <v>41.12</v>
      </c>
      <c r="P94" s="191"/>
      <c r="Q94" s="78"/>
      <c r="R94" s="194"/>
      <c r="AG94" s="196"/>
      <c r="AH94" s="196"/>
      <c r="AI94" s="196"/>
    </row>
    <row r="95" spans="2:35" x14ac:dyDescent="0.2">
      <c r="B95" s="76"/>
      <c r="C95" s="191"/>
      <c r="D95" s="191"/>
      <c r="E95" s="191"/>
      <c r="F95" s="71"/>
      <c r="G95" s="71"/>
      <c r="H95" s="191"/>
      <c r="I95" s="202"/>
      <c r="J95" s="202"/>
      <c r="K95" s="71"/>
      <c r="L95" s="71"/>
      <c r="M95" s="71"/>
      <c r="N95" s="71"/>
      <c r="O95" s="71"/>
      <c r="P95" s="191"/>
      <c r="Q95" s="78"/>
      <c r="R95" s="194"/>
      <c r="AF95" s="196"/>
    </row>
    <row r="96" spans="2:35" x14ac:dyDescent="0.2">
      <c r="B96" s="76"/>
      <c r="C96" s="191"/>
      <c r="D96" s="850" t="s">
        <v>993</v>
      </c>
      <c r="E96" s="850"/>
      <c r="F96" s="71">
        <v>1</v>
      </c>
      <c r="G96" s="71"/>
      <c r="H96" s="191"/>
      <c r="I96" s="152">
        <v>0</v>
      </c>
      <c r="J96" s="152">
        <v>0</v>
      </c>
      <c r="K96" s="152">
        <f>J96</f>
        <v>0</v>
      </c>
      <c r="L96" s="152">
        <f t="shared" ref="L96:O96" si="31">K96</f>
        <v>0</v>
      </c>
      <c r="M96" s="152">
        <f t="shared" si="31"/>
        <v>0</v>
      </c>
      <c r="N96" s="152">
        <f t="shared" si="31"/>
        <v>0</v>
      </c>
      <c r="O96" s="152">
        <f t="shared" si="31"/>
        <v>0</v>
      </c>
      <c r="P96" s="191"/>
      <c r="Q96" s="78"/>
      <c r="R96" s="194"/>
    </row>
    <row r="97" spans="2:35" x14ac:dyDescent="0.2">
      <c r="B97" s="76"/>
      <c r="C97" s="191"/>
      <c r="D97" s="191"/>
      <c r="E97" s="191"/>
      <c r="F97" s="71">
        <v>2</v>
      </c>
      <c r="G97" s="71"/>
      <c r="H97" s="191"/>
      <c r="I97" s="152">
        <v>0</v>
      </c>
      <c r="J97" s="152">
        <v>0</v>
      </c>
      <c r="K97" s="152">
        <f t="shared" ref="K97:O99" si="32">J97</f>
        <v>0</v>
      </c>
      <c r="L97" s="152">
        <f t="shared" si="32"/>
        <v>0</v>
      </c>
      <c r="M97" s="152">
        <f t="shared" si="32"/>
        <v>0</v>
      </c>
      <c r="N97" s="152">
        <f t="shared" si="32"/>
        <v>0</v>
      </c>
      <c r="O97" s="152">
        <f t="shared" si="32"/>
        <v>0</v>
      </c>
      <c r="P97" s="191"/>
      <c r="Q97" s="78"/>
      <c r="R97" s="194"/>
    </row>
    <row r="98" spans="2:35" x14ac:dyDescent="0.2">
      <c r="B98" s="76"/>
      <c r="C98" s="191"/>
      <c r="D98" s="191"/>
      <c r="E98" s="191"/>
      <c r="F98" s="71">
        <v>3</v>
      </c>
      <c r="G98" s="71"/>
      <c r="H98" s="191"/>
      <c r="I98" s="152">
        <v>0</v>
      </c>
      <c r="J98" s="152">
        <v>0</v>
      </c>
      <c r="K98" s="152">
        <f t="shared" si="32"/>
        <v>0</v>
      </c>
      <c r="L98" s="152">
        <f t="shared" si="32"/>
        <v>0</v>
      </c>
      <c r="M98" s="152">
        <f t="shared" si="32"/>
        <v>0</v>
      </c>
      <c r="N98" s="152">
        <f t="shared" si="32"/>
        <v>0</v>
      </c>
      <c r="O98" s="152">
        <f t="shared" si="32"/>
        <v>0</v>
      </c>
      <c r="P98" s="191"/>
      <c r="Q98" s="78"/>
      <c r="R98" s="194"/>
      <c r="AF98" s="196"/>
    </row>
    <row r="99" spans="2:35" hidden="1" x14ac:dyDescent="0.2">
      <c r="B99" s="76"/>
      <c r="C99" s="191"/>
      <c r="D99" s="493" t="s">
        <v>392</v>
      </c>
      <c r="E99" s="493"/>
      <c r="F99" s="71"/>
      <c r="G99" s="71"/>
      <c r="H99" s="191"/>
      <c r="I99" s="592">
        <f>tab!$D$78</f>
        <v>41.12</v>
      </c>
      <c r="J99" s="592">
        <f>tab!$D$78</f>
        <v>41.12</v>
      </c>
      <c r="K99" s="152">
        <f t="shared" si="32"/>
        <v>41.12</v>
      </c>
      <c r="L99" s="592">
        <f t="shared" ref="L99:M99" si="33">+K99</f>
        <v>41.12</v>
      </c>
      <c r="M99" s="592">
        <f t="shared" si="33"/>
        <v>41.12</v>
      </c>
      <c r="N99" s="592">
        <f>+M99</f>
        <v>41.12</v>
      </c>
      <c r="O99" s="592">
        <f t="shared" ref="O99" si="34">+N99</f>
        <v>41.12</v>
      </c>
      <c r="P99" s="191"/>
      <c r="Q99" s="78"/>
      <c r="R99" s="194"/>
    </row>
    <row r="100" spans="2:35" x14ac:dyDescent="0.2">
      <c r="B100" s="76"/>
      <c r="C100" s="191"/>
      <c r="D100" s="191"/>
      <c r="E100" s="191"/>
      <c r="F100" s="71"/>
      <c r="G100" s="71"/>
      <c r="H100" s="191"/>
      <c r="I100" s="202"/>
      <c r="J100" s="202"/>
      <c r="K100" s="71"/>
      <c r="L100" s="71"/>
      <c r="M100" s="71"/>
      <c r="N100" s="71"/>
      <c r="O100" s="71"/>
      <c r="P100" s="191"/>
      <c r="Q100" s="78"/>
      <c r="R100" s="194"/>
    </row>
    <row r="101" spans="2:35" x14ac:dyDescent="0.2">
      <c r="B101" s="76"/>
      <c r="C101" s="191"/>
      <c r="D101" s="850" t="s">
        <v>994</v>
      </c>
      <c r="E101" s="850"/>
      <c r="F101" s="71">
        <v>1</v>
      </c>
      <c r="G101" s="71"/>
      <c r="H101" s="191"/>
      <c r="I101" s="152">
        <v>0</v>
      </c>
      <c r="J101" s="152">
        <v>0</v>
      </c>
      <c r="K101" s="152">
        <f t="shared" ref="K101:M104" si="35">+J101</f>
        <v>0</v>
      </c>
      <c r="L101" s="152">
        <f t="shared" si="35"/>
        <v>0</v>
      </c>
      <c r="M101" s="152">
        <f t="shared" si="35"/>
        <v>0</v>
      </c>
      <c r="N101" s="152">
        <f>+M101</f>
        <v>0</v>
      </c>
      <c r="O101" s="152">
        <f t="shared" ref="O101:O104" si="36">+N101</f>
        <v>0</v>
      </c>
      <c r="P101" s="191"/>
      <c r="Q101" s="78"/>
      <c r="R101" s="194"/>
      <c r="AF101" s="196"/>
    </row>
    <row r="102" spans="2:35" x14ac:dyDescent="0.2">
      <c r="B102" s="76"/>
      <c r="C102" s="191"/>
      <c r="D102" s="191"/>
      <c r="E102" s="191"/>
      <c r="F102" s="71">
        <v>2</v>
      </c>
      <c r="G102" s="71"/>
      <c r="H102" s="191"/>
      <c r="I102" s="152">
        <v>0</v>
      </c>
      <c r="J102" s="152">
        <v>0</v>
      </c>
      <c r="K102" s="152">
        <f t="shared" si="35"/>
        <v>0</v>
      </c>
      <c r="L102" s="152">
        <f t="shared" si="35"/>
        <v>0</v>
      </c>
      <c r="M102" s="152">
        <f t="shared" si="35"/>
        <v>0</v>
      </c>
      <c r="N102" s="152">
        <f>+M102</f>
        <v>0</v>
      </c>
      <c r="O102" s="152">
        <f t="shared" si="36"/>
        <v>0</v>
      </c>
      <c r="P102" s="191"/>
      <c r="Q102" s="78"/>
      <c r="R102" s="194"/>
    </row>
    <row r="103" spans="2:35" x14ac:dyDescent="0.2">
      <c r="B103" s="76"/>
      <c r="C103" s="191"/>
      <c r="D103" s="191"/>
      <c r="E103" s="191"/>
      <c r="F103" s="71">
        <v>3</v>
      </c>
      <c r="G103" s="71"/>
      <c r="H103" s="191"/>
      <c r="I103" s="152">
        <v>0</v>
      </c>
      <c r="J103" s="152">
        <v>0</v>
      </c>
      <c r="K103" s="152">
        <f t="shared" si="35"/>
        <v>0</v>
      </c>
      <c r="L103" s="152">
        <f t="shared" si="35"/>
        <v>0</v>
      </c>
      <c r="M103" s="152">
        <f t="shared" si="35"/>
        <v>0</v>
      </c>
      <c r="N103" s="152">
        <f>+M103</f>
        <v>0</v>
      </c>
      <c r="O103" s="152">
        <f t="shared" si="36"/>
        <v>0</v>
      </c>
      <c r="P103" s="191"/>
      <c r="Q103" s="78"/>
      <c r="R103" s="194"/>
    </row>
    <row r="104" spans="2:35" hidden="1" x14ac:dyDescent="0.2">
      <c r="B104" s="76"/>
      <c r="C104" s="191"/>
      <c r="D104" s="493" t="s">
        <v>392</v>
      </c>
      <c r="E104" s="493"/>
      <c r="F104" s="71"/>
      <c r="G104" s="71"/>
      <c r="H104" s="191"/>
      <c r="I104" s="592">
        <f>tab!$D$78</f>
        <v>41.12</v>
      </c>
      <c r="J104" s="592">
        <f>tab!$D$78</f>
        <v>41.12</v>
      </c>
      <c r="K104" s="592">
        <f t="shared" si="35"/>
        <v>41.12</v>
      </c>
      <c r="L104" s="592">
        <f t="shared" si="35"/>
        <v>41.12</v>
      </c>
      <c r="M104" s="592">
        <f t="shared" si="35"/>
        <v>41.12</v>
      </c>
      <c r="N104" s="592">
        <f>+M104</f>
        <v>41.12</v>
      </c>
      <c r="O104" s="592">
        <f t="shared" si="36"/>
        <v>41.12</v>
      </c>
      <c r="P104" s="191"/>
      <c r="Q104" s="78"/>
      <c r="R104" s="194"/>
    </row>
    <row r="105" spans="2:35" x14ac:dyDescent="0.2">
      <c r="B105" s="76"/>
      <c r="C105" s="191"/>
      <c r="D105" s="191"/>
      <c r="E105" s="191"/>
      <c r="F105" s="71"/>
      <c r="G105" s="71"/>
      <c r="H105" s="191"/>
      <c r="I105" s="202"/>
      <c r="J105" s="202"/>
      <c r="K105" s="71"/>
      <c r="L105" s="71"/>
      <c r="M105" s="71"/>
      <c r="N105" s="71"/>
      <c r="O105" s="71"/>
      <c r="P105" s="191"/>
      <c r="Q105" s="78"/>
      <c r="R105" s="194"/>
    </row>
    <row r="106" spans="2:35" x14ac:dyDescent="0.2">
      <c r="B106" s="76"/>
      <c r="C106" s="191"/>
      <c r="D106" s="850" t="s">
        <v>995</v>
      </c>
      <c r="E106" s="850"/>
      <c r="F106" s="71">
        <v>1</v>
      </c>
      <c r="G106" s="71"/>
      <c r="H106" s="191"/>
      <c r="I106" s="152">
        <v>0</v>
      </c>
      <c r="J106" s="152">
        <v>0</v>
      </c>
      <c r="K106" s="152">
        <f>J106</f>
        <v>0</v>
      </c>
      <c r="L106" s="152">
        <f t="shared" ref="L106:O106" si="37">K106</f>
        <v>0</v>
      </c>
      <c r="M106" s="152">
        <f t="shared" si="37"/>
        <v>0</v>
      </c>
      <c r="N106" s="152">
        <f t="shared" si="37"/>
        <v>0</v>
      </c>
      <c r="O106" s="152">
        <f t="shared" si="37"/>
        <v>0</v>
      </c>
      <c r="P106" s="191"/>
      <c r="Q106" s="78"/>
      <c r="R106" s="194"/>
    </row>
    <row r="107" spans="2:35" x14ac:dyDescent="0.2">
      <c r="B107" s="76"/>
      <c r="C107" s="191"/>
      <c r="D107" s="191"/>
      <c r="E107" s="191"/>
      <c r="F107" s="71">
        <v>2</v>
      </c>
      <c r="G107" s="71"/>
      <c r="H107" s="191"/>
      <c r="I107" s="152">
        <v>0</v>
      </c>
      <c r="J107" s="152">
        <v>0</v>
      </c>
      <c r="K107" s="152">
        <f t="shared" ref="K107:O108" si="38">J107</f>
        <v>0</v>
      </c>
      <c r="L107" s="152">
        <f t="shared" si="38"/>
        <v>0</v>
      </c>
      <c r="M107" s="152">
        <f t="shared" si="38"/>
        <v>0</v>
      </c>
      <c r="N107" s="152">
        <f t="shared" si="38"/>
        <v>0</v>
      </c>
      <c r="O107" s="152">
        <f t="shared" si="38"/>
        <v>0</v>
      </c>
      <c r="P107" s="191"/>
      <c r="Q107" s="78"/>
      <c r="R107" s="194"/>
      <c r="AG107" s="196"/>
      <c r="AH107" s="196"/>
      <c r="AI107" s="196"/>
    </row>
    <row r="108" spans="2:35" x14ac:dyDescent="0.2">
      <c r="B108" s="76"/>
      <c r="C108" s="191"/>
      <c r="D108" s="191"/>
      <c r="E108" s="191"/>
      <c r="F108" s="71">
        <v>3</v>
      </c>
      <c r="G108" s="71"/>
      <c r="H108" s="191"/>
      <c r="I108" s="152">
        <v>0</v>
      </c>
      <c r="J108" s="152">
        <v>0</v>
      </c>
      <c r="K108" s="152">
        <f t="shared" si="38"/>
        <v>0</v>
      </c>
      <c r="L108" s="152">
        <f t="shared" si="38"/>
        <v>0</v>
      </c>
      <c r="M108" s="152">
        <f t="shared" si="38"/>
        <v>0</v>
      </c>
      <c r="N108" s="152">
        <f t="shared" si="38"/>
        <v>0</v>
      </c>
      <c r="O108" s="152">
        <f t="shared" si="38"/>
        <v>0</v>
      </c>
      <c r="P108" s="191"/>
      <c r="Q108" s="78"/>
      <c r="R108" s="194"/>
    </row>
    <row r="109" spans="2:35" hidden="1" x14ac:dyDescent="0.2">
      <c r="B109" s="76"/>
      <c r="C109" s="191"/>
      <c r="D109" s="493" t="s">
        <v>392</v>
      </c>
      <c r="E109" s="493"/>
      <c r="F109" s="71"/>
      <c r="G109" s="71"/>
      <c r="H109" s="191"/>
      <c r="I109" s="592">
        <f>tab!$D$78</f>
        <v>41.12</v>
      </c>
      <c r="J109" s="592">
        <f>tab!$D$78</f>
        <v>41.12</v>
      </c>
      <c r="K109" s="592">
        <f t="shared" ref="K109:M109" si="39">+J109</f>
        <v>41.12</v>
      </c>
      <c r="L109" s="592">
        <f t="shared" si="39"/>
        <v>41.12</v>
      </c>
      <c r="M109" s="592">
        <f t="shared" si="39"/>
        <v>41.12</v>
      </c>
      <c r="N109" s="592">
        <f>+M109</f>
        <v>41.12</v>
      </c>
      <c r="O109" s="592">
        <f t="shared" ref="O109" si="40">+N109</f>
        <v>41.12</v>
      </c>
      <c r="P109" s="191"/>
      <c r="Q109" s="78"/>
      <c r="R109" s="194"/>
      <c r="S109" s="848"/>
    </row>
    <row r="110" spans="2:35" x14ac:dyDescent="0.2">
      <c r="B110" s="76"/>
      <c r="C110" s="191"/>
      <c r="D110" s="191"/>
      <c r="E110" s="191"/>
      <c r="F110" s="71"/>
      <c r="G110" s="71"/>
      <c r="H110" s="191"/>
      <c r="I110" s="202"/>
      <c r="J110" s="202"/>
      <c r="K110" s="71"/>
      <c r="L110" s="71"/>
      <c r="M110" s="71"/>
      <c r="N110" s="71"/>
      <c r="O110" s="71"/>
      <c r="P110" s="191"/>
      <c r="Q110" s="78"/>
      <c r="R110" s="194"/>
      <c r="S110" s="848"/>
    </row>
    <row r="111" spans="2:35" x14ac:dyDescent="0.2">
      <c r="B111" s="76"/>
      <c r="C111" s="191"/>
      <c r="D111" s="850" t="s">
        <v>996</v>
      </c>
      <c r="E111" s="850"/>
      <c r="F111" s="71">
        <v>1</v>
      </c>
      <c r="G111" s="71"/>
      <c r="H111" s="191"/>
      <c r="I111" s="152">
        <v>0</v>
      </c>
      <c r="J111" s="152">
        <v>0</v>
      </c>
      <c r="K111" s="152">
        <f t="shared" ref="K111:M114" si="41">+J111</f>
        <v>0</v>
      </c>
      <c r="L111" s="152">
        <f t="shared" ref="L111:L113" si="42">+K111</f>
        <v>0</v>
      </c>
      <c r="M111" s="152">
        <f t="shared" ref="M111:M113" si="43">+L111</f>
        <v>0</v>
      </c>
      <c r="N111" s="152">
        <f t="shared" ref="N111:N113" si="44">+M111</f>
        <v>0</v>
      </c>
      <c r="O111" s="152">
        <f t="shared" ref="O111:O113" si="45">+N111</f>
        <v>0</v>
      </c>
      <c r="P111" s="191"/>
      <c r="Q111" s="78"/>
      <c r="R111" s="194"/>
      <c r="S111" s="848"/>
    </row>
    <row r="112" spans="2:35" x14ac:dyDescent="0.2">
      <c r="B112" s="76"/>
      <c r="C112" s="191"/>
      <c r="D112" s="191"/>
      <c r="E112" s="191"/>
      <c r="F112" s="71">
        <v>2</v>
      </c>
      <c r="G112" s="71"/>
      <c r="H112" s="191"/>
      <c r="I112" s="152">
        <v>0</v>
      </c>
      <c r="J112" s="152">
        <v>0</v>
      </c>
      <c r="K112" s="152">
        <f t="shared" si="41"/>
        <v>0</v>
      </c>
      <c r="L112" s="152">
        <f t="shared" si="42"/>
        <v>0</v>
      </c>
      <c r="M112" s="152">
        <f t="shared" si="43"/>
        <v>0</v>
      </c>
      <c r="N112" s="152">
        <f t="shared" si="44"/>
        <v>0</v>
      </c>
      <c r="O112" s="152">
        <f t="shared" si="45"/>
        <v>0</v>
      </c>
      <c r="P112" s="191"/>
      <c r="Q112" s="78"/>
      <c r="R112" s="194"/>
      <c r="S112" s="848"/>
    </row>
    <row r="113" spans="2:35" x14ac:dyDescent="0.2">
      <c r="B113" s="76"/>
      <c r="C113" s="191"/>
      <c r="D113" s="191"/>
      <c r="E113" s="191"/>
      <c r="F113" s="71">
        <v>3</v>
      </c>
      <c r="G113" s="71"/>
      <c r="H113" s="191"/>
      <c r="I113" s="152">
        <v>0</v>
      </c>
      <c r="J113" s="152">
        <v>0</v>
      </c>
      <c r="K113" s="152">
        <f t="shared" si="41"/>
        <v>0</v>
      </c>
      <c r="L113" s="152">
        <f t="shared" si="42"/>
        <v>0</v>
      </c>
      <c r="M113" s="152">
        <f t="shared" si="43"/>
        <v>0</v>
      </c>
      <c r="N113" s="152">
        <f t="shared" si="44"/>
        <v>0</v>
      </c>
      <c r="O113" s="152">
        <f t="shared" si="45"/>
        <v>0</v>
      </c>
      <c r="P113" s="191"/>
      <c r="Q113" s="78"/>
      <c r="R113" s="194"/>
      <c r="S113" s="848"/>
      <c r="AG113" s="196"/>
      <c r="AH113" s="196"/>
      <c r="AI113" s="196"/>
    </row>
    <row r="114" spans="2:35" hidden="1" x14ac:dyDescent="0.2">
      <c r="B114" s="76"/>
      <c r="C114" s="191"/>
      <c r="D114" s="493" t="s">
        <v>392</v>
      </c>
      <c r="E114" s="493"/>
      <c r="F114" s="71"/>
      <c r="G114" s="71"/>
      <c r="H114" s="191"/>
      <c r="I114" s="592">
        <f>tab!$D$78</f>
        <v>41.12</v>
      </c>
      <c r="J114" s="592">
        <f>tab!$D$78</f>
        <v>41.12</v>
      </c>
      <c r="K114" s="592">
        <f t="shared" si="41"/>
        <v>41.12</v>
      </c>
      <c r="L114" s="592">
        <f t="shared" si="41"/>
        <v>41.12</v>
      </c>
      <c r="M114" s="592">
        <f t="shared" si="41"/>
        <v>41.12</v>
      </c>
      <c r="N114" s="592">
        <f>+M114</f>
        <v>41.12</v>
      </c>
      <c r="O114" s="592">
        <f t="shared" ref="O114" si="46">+N114</f>
        <v>41.12</v>
      </c>
      <c r="P114" s="191"/>
      <c r="Q114" s="78"/>
      <c r="R114" s="194"/>
      <c r="S114" s="848"/>
    </row>
    <row r="115" spans="2:35" ht="12" customHeight="1" x14ac:dyDescent="0.2">
      <c r="B115" s="76"/>
      <c r="C115" s="191"/>
      <c r="D115" s="191"/>
      <c r="E115" s="191"/>
      <c r="F115" s="71"/>
      <c r="G115" s="71"/>
      <c r="H115" s="191"/>
      <c r="I115" s="202"/>
      <c r="J115" s="202"/>
      <c r="K115" s="71"/>
      <c r="L115" s="71"/>
      <c r="M115" s="71"/>
      <c r="N115" s="71"/>
      <c r="O115" s="71"/>
      <c r="P115" s="191"/>
      <c r="Q115" s="78"/>
      <c r="R115" s="194"/>
    </row>
    <row r="116" spans="2:35" ht="12" customHeight="1" x14ac:dyDescent="0.2">
      <c r="B116" s="76"/>
      <c r="C116" s="191"/>
      <c r="D116" s="850" t="s">
        <v>997</v>
      </c>
      <c r="E116" s="850"/>
      <c r="F116" s="71">
        <v>1</v>
      </c>
      <c r="G116" s="71"/>
      <c r="H116" s="191"/>
      <c r="I116" s="152">
        <v>0</v>
      </c>
      <c r="J116" s="152">
        <v>0</v>
      </c>
      <c r="K116" s="152">
        <f>J116</f>
        <v>0</v>
      </c>
      <c r="L116" s="152">
        <f t="shared" ref="L116:O116" si="47">K116</f>
        <v>0</v>
      </c>
      <c r="M116" s="152">
        <f t="shared" si="47"/>
        <v>0</v>
      </c>
      <c r="N116" s="152">
        <f t="shared" si="47"/>
        <v>0</v>
      </c>
      <c r="O116" s="152">
        <f t="shared" si="47"/>
        <v>0</v>
      </c>
      <c r="P116" s="191"/>
      <c r="Q116" s="78"/>
      <c r="R116" s="194"/>
    </row>
    <row r="117" spans="2:35" ht="12" customHeight="1" x14ac:dyDescent="0.2">
      <c r="B117" s="76"/>
      <c r="C117" s="191"/>
      <c r="D117" s="191"/>
      <c r="E117" s="191"/>
      <c r="F117" s="71">
        <v>2</v>
      </c>
      <c r="G117" s="71"/>
      <c r="H117" s="191"/>
      <c r="I117" s="152">
        <v>0</v>
      </c>
      <c r="J117" s="152">
        <v>0</v>
      </c>
      <c r="K117" s="152">
        <f t="shared" ref="K117:O118" si="48">J117</f>
        <v>0</v>
      </c>
      <c r="L117" s="152">
        <f t="shared" si="48"/>
        <v>0</v>
      </c>
      <c r="M117" s="152">
        <f t="shared" si="48"/>
        <v>0</v>
      </c>
      <c r="N117" s="152">
        <f t="shared" si="48"/>
        <v>0</v>
      </c>
      <c r="O117" s="152">
        <f t="shared" si="48"/>
        <v>0</v>
      </c>
      <c r="P117" s="191"/>
      <c r="Q117" s="78"/>
      <c r="R117" s="194"/>
    </row>
    <row r="118" spans="2:35" ht="12" customHeight="1" x14ac:dyDescent="0.2">
      <c r="B118" s="76"/>
      <c r="C118" s="191"/>
      <c r="D118" s="191"/>
      <c r="E118" s="191"/>
      <c r="F118" s="71">
        <v>3</v>
      </c>
      <c r="G118" s="71"/>
      <c r="H118" s="191"/>
      <c r="I118" s="152">
        <v>0</v>
      </c>
      <c r="J118" s="152">
        <v>0</v>
      </c>
      <c r="K118" s="152">
        <f t="shared" si="48"/>
        <v>0</v>
      </c>
      <c r="L118" s="152">
        <f t="shared" si="48"/>
        <v>0</v>
      </c>
      <c r="M118" s="152">
        <f t="shared" si="48"/>
        <v>0</v>
      </c>
      <c r="N118" s="152">
        <f t="shared" si="48"/>
        <v>0</v>
      </c>
      <c r="O118" s="152">
        <f t="shared" si="48"/>
        <v>0</v>
      </c>
      <c r="P118" s="191"/>
      <c r="Q118" s="78"/>
      <c r="R118" s="194"/>
      <c r="AF118" s="196"/>
    </row>
    <row r="119" spans="2:35" ht="12" hidden="1" customHeight="1" x14ac:dyDescent="0.2">
      <c r="B119" s="76"/>
      <c r="C119" s="191"/>
      <c r="D119" s="493" t="s">
        <v>392</v>
      </c>
      <c r="E119" s="493"/>
      <c r="F119" s="71"/>
      <c r="G119" s="71"/>
      <c r="H119" s="191"/>
      <c r="I119" s="592">
        <f>tab!$D$78</f>
        <v>41.12</v>
      </c>
      <c r="J119" s="592">
        <f>tab!$D$78</f>
        <v>41.12</v>
      </c>
      <c r="K119" s="592">
        <f t="shared" ref="K119:M119" si="49">+J119</f>
        <v>41.12</v>
      </c>
      <c r="L119" s="592">
        <f t="shared" si="49"/>
        <v>41.12</v>
      </c>
      <c r="M119" s="592">
        <f t="shared" si="49"/>
        <v>41.12</v>
      </c>
      <c r="N119" s="592">
        <f>+M119</f>
        <v>41.12</v>
      </c>
      <c r="O119" s="592">
        <f t="shared" ref="O119" si="50">+N119</f>
        <v>41.12</v>
      </c>
      <c r="P119" s="191"/>
      <c r="Q119" s="78"/>
      <c r="R119" s="194"/>
      <c r="AG119" s="196"/>
      <c r="AH119" s="196"/>
      <c r="AI119" s="196"/>
    </row>
    <row r="120" spans="2:35" ht="12" customHeight="1" x14ac:dyDescent="0.2">
      <c r="B120" s="76"/>
      <c r="C120" s="669"/>
      <c r="D120" s="950"/>
      <c r="E120" s="516"/>
      <c r="F120" s="71"/>
      <c r="G120" s="71"/>
      <c r="H120" s="191"/>
      <c r="I120" s="202"/>
      <c r="J120" s="202"/>
      <c r="K120" s="71"/>
      <c r="L120" s="71"/>
      <c r="M120" s="71"/>
      <c r="N120" s="71"/>
      <c r="O120" s="71"/>
      <c r="P120" s="191"/>
      <c r="Q120" s="78"/>
      <c r="R120" s="194"/>
    </row>
    <row r="121" spans="2:35" ht="12" customHeight="1" x14ac:dyDescent="0.2">
      <c r="B121" s="76"/>
      <c r="C121" s="191"/>
      <c r="D121" s="850" t="s">
        <v>998</v>
      </c>
      <c r="E121" s="850"/>
      <c r="F121" s="71">
        <v>1</v>
      </c>
      <c r="G121" s="71"/>
      <c r="H121" s="191"/>
      <c r="I121" s="152">
        <v>0</v>
      </c>
      <c r="J121" s="152">
        <v>0</v>
      </c>
      <c r="K121" s="152">
        <f>J121</f>
        <v>0</v>
      </c>
      <c r="L121" s="152">
        <f t="shared" ref="L121:O121" si="51">K121</f>
        <v>0</v>
      </c>
      <c r="M121" s="152">
        <f t="shared" si="51"/>
        <v>0</v>
      </c>
      <c r="N121" s="152">
        <f t="shared" si="51"/>
        <v>0</v>
      </c>
      <c r="O121" s="152">
        <f t="shared" si="51"/>
        <v>0</v>
      </c>
      <c r="P121" s="191"/>
      <c r="Q121" s="78"/>
      <c r="R121" s="194"/>
      <c r="AF121" s="196"/>
    </row>
    <row r="122" spans="2:35" ht="12" customHeight="1" x14ac:dyDescent="0.2">
      <c r="B122" s="76"/>
      <c r="C122" s="191"/>
      <c r="D122" s="191"/>
      <c r="E122" s="191"/>
      <c r="F122" s="71">
        <v>2</v>
      </c>
      <c r="G122" s="71"/>
      <c r="H122" s="191"/>
      <c r="I122" s="152">
        <v>0</v>
      </c>
      <c r="J122" s="152">
        <v>0</v>
      </c>
      <c r="K122" s="152">
        <f t="shared" ref="K122:O123" si="52">J122</f>
        <v>0</v>
      </c>
      <c r="L122" s="152">
        <f t="shared" si="52"/>
        <v>0</v>
      </c>
      <c r="M122" s="152">
        <f t="shared" si="52"/>
        <v>0</v>
      </c>
      <c r="N122" s="152">
        <f t="shared" si="52"/>
        <v>0</v>
      </c>
      <c r="O122" s="152">
        <f t="shared" si="52"/>
        <v>0</v>
      </c>
      <c r="P122" s="191"/>
      <c r="Q122" s="78"/>
      <c r="R122" s="194"/>
    </row>
    <row r="123" spans="2:35" ht="12" customHeight="1" x14ac:dyDescent="0.2">
      <c r="B123" s="76"/>
      <c r="C123" s="191"/>
      <c r="D123" s="191"/>
      <c r="E123" s="191"/>
      <c r="F123" s="71">
        <v>3</v>
      </c>
      <c r="G123" s="71"/>
      <c r="H123" s="191"/>
      <c r="I123" s="152">
        <v>0</v>
      </c>
      <c r="J123" s="152">
        <v>0</v>
      </c>
      <c r="K123" s="152">
        <f t="shared" si="52"/>
        <v>0</v>
      </c>
      <c r="L123" s="152">
        <f t="shared" si="52"/>
        <v>0</v>
      </c>
      <c r="M123" s="152">
        <f t="shared" si="52"/>
        <v>0</v>
      </c>
      <c r="N123" s="152">
        <f t="shared" si="52"/>
        <v>0</v>
      </c>
      <c r="O123" s="152">
        <f t="shared" si="52"/>
        <v>0</v>
      </c>
      <c r="P123" s="191"/>
      <c r="Q123" s="78"/>
      <c r="R123" s="194"/>
    </row>
    <row r="124" spans="2:35" ht="12" hidden="1" customHeight="1" x14ac:dyDescent="0.2">
      <c r="B124" s="76"/>
      <c r="C124" s="191"/>
      <c r="D124" s="493" t="s">
        <v>392</v>
      </c>
      <c r="E124" s="493"/>
      <c r="F124" s="71"/>
      <c r="G124" s="71"/>
      <c r="H124" s="191"/>
      <c r="I124" s="592">
        <f>tab!$D$78</f>
        <v>41.12</v>
      </c>
      <c r="J124" s="592">
        <f>tab!$D$78</f>
        <v>41.12</v>
      </c>
      <c r="K124" s="592">
        <f t="shared" ref="K124:M124" si="53">+J124</f>
        <v>41.12</v>
      </c>
      <c r="L124" s="592">
        <f t="shared" si="53"/>
        <v>41.12</v>
      </c>
      <c r="M124" s="592">
        <f t="shared" si="53"/>
        <v>41.12</v>
      </c>
      <c r="N124" s="592">
        <f>+M124</f>
        <v>41.12</v>
      </c>
      <c r="O124" s="592">
        <f t="shared" ref="O124" si="54">+N124</f>
        <v>41.12</v>
      </c>
      <c r="P124" s="191"/>
      <c r="Q124" s="78"/>
      <c r="R124" s="194"/>
      <c r="AF124" s="196"/>
    </row>
    <row r="125" spans="2:35" ht="12" customHeight="1" x14ac:dyDescent="0.2">
      <c r="B125" s="76"/>
      <c r="C125" s="191"/>
      <c r="D125" s="191"/>
      <c r="E125" s="191"/>
      <c r="F125" s="71"/>
      <c r="G125" s="71"/>
      <c r="H125" s="191"/>
      <c r="I125" s="202"/>
      <c r="J125" s="202"/>
      <c r="K125" s="71"/>
      <c r="L125" s="71"/>
      <c r="M125" s="71"/>
      <c r="N125" s="71"/>
      <c r="O125" s="71"/>
      <c r="P125" s="191"/>
      <c r="Q125" s="78"/>
      <c r="R125" s="194"/>
      <c r="AG125" s="196"/>
      <c r="AH125" s="196"/>
      <c r="AI125" s="196"/>
    </row>
    <row r="126" spans="2:35" ht="12" customHeight="1" x14ac:dyDescent="0.2">
      <c r="B126" s="76"/>
      <c r="C126" s="191"/>
      <c r="D126" s="850" t="s">
        <v>999</v>
      </c>
      <c r="E126" s="850"/>
      <c r="F126" s="71">
        <v>1</v>
      </c>
      <c r="G126" s="71"/>
      <c r="H126" s="191"/>
      <c r="I126" s="152">
        <v>0</v>
      </c>
      <c r="J126" s="152">
        <v>0</v>
      </c>
      <c r="K126" s="152">
        <f t="shared" ref="K126:M129" si="55">+J126</f>
        <v>0</v>
      </c>
      <c r="L126" s="152">
        <f t="shared" si="55"/>
        <v>0</v>
      </c>
      <c r="M126" s="152">
        <f t="shared" si="55"/>
        <v>0</v>
      </c>
      <c r="N126" s="152">
        <f>+M126</f>
        <v>0</v>
      </c>
      <c r="O126" s="152">
        <f t="shared" ref="O126:O129" si="56">+N126</f>
        <v>0</v>
      </c>
      <c r="P126" s="191"/>
      <c r="Q126" s="78"/>
      <c r="R126" s="194"/>
    </row>
    <row r="127" spans="2:35" ht="12" customHeight="1" x14ac:dyDescent="0.2">
      <c r="B127" s="76"/>
      <c r="C127" s="191"/>
      <c r="D127" s="191"/>
      <c r="E127" s="191"/>
      <c r="F127" s="71">
        <v>2</v>
      </c>
      <c r="G127" s="71"/>
      <c r="H127" s="191"/>
      <c r="I127" s="152">
        <v>0</v>
      </c>
      <c r="J127" s="152">
        <v>0</v>
      </c>
      <c r="K127" s="152">
        <f t="shared" si="55"/>
        <v>0</v>
      </c>
      <c r="L127" s="152">
        <f t="shared" si="55"/>
        <v>0</v>
      </c>
      <c r="M127" s="152">
        <f t="shared" si="55"/>
        <v>0</v>
      </c>
      <c r="N127" s="152">
        <f>+M127</f>
        <v>0</v>
      </c>
      <c r="O127" s="152">
        <f t="shared" si="56"/>
        <v>0</v>
      </c>
      <c r="P127" s="191"/>
      <c r="Q127" s="78"/>
      <c r="R127" s="194"/>
    </row>
    <row r="128" spans="2:35" ht="12.75" customHeight="1" x14ac:dyDescent="0.2">
      <c r="B128" s="76"/>
      <c r="C128" s="191"/>
      <c r="D128" s="191"/>
      <c r="E128" s="191"/>
      <c r="F128" s="71">
        <v>3</v>
      </c>
      <c r="G128" s="71"/>
      <c r="H128" s="191"/>
      <c r="I128" s="152">
        <v>0</v>
      </c>
      <c r="J128" s="152">
        <v>0</v>
      </c>
      <c r="K128" s="152">
        <f t="shared" si="55"/>
        <v>0</v>
      </c>
      <c r="L128" s="152">
        <f t="shared" si="55"/>
        <v>0</v>
      </c>
      <c r="M128" s="152">
        <f t="shared" si="55"/>
        <v>0</v>
      </c>
      <c r="N128" s="152">
        <f>+M128</f>
        <v>0</v>
      </c>
      <c r="O128" s="152">
        <f t="shared" si="56"/>
        <v>0</v>
      </c>
      <c r="P128" s="191"/>
      <c r="Q128" s="78"/>
      <c r="R128" s="194"/>
    </row>
    <row r="129" spans="2:36" hidden="1" x14ac:dyDescent="0.2">
      <c r="B129" s="76"/>
      <c r="C129" s="191"/>
      <c r="D129" s="493" t="s">
        <v>392</v>
      </c>
      <c r="E129" s="493"/>
      <c r="F129" s="71"/>
      <c r="G129" s="71"/>
      <c r="H129" s="191"/>
      <c r="I129" s="592">
        <f>tab!$D$78</f>
        <v>41.12</v>
      </c>
      <c r="J129" s="592">
        <f>tab!$D$78</f>
        <v>41.12</v>
      </c>
      <c r="K129" s="592">
        <f t="shared" si="55"/>
        <v>41.12</v>
      </c>
      <c r="L129" s="592">
        <f t="shared" si="55"/>
        <v>41.12</v>
      </c>
      <c r="M129" s="592">
        <f t="shared" si="55"/>
        <v>41.12</v>
      </c>
      <c r="N129" s="592">
        <f>+M129</f>
        <v>41.12</v>
      </c>
      <c r="O129" s="592">
        <f t="shared" si="56"/>
        <v>41.12</v>
      </c>
      <c r="P129" s="191"/>
      <c r="Q129" s="78"/>
      <c r="R129" s="194"/>
    </row>
    <row r="130" spans="2:36" x14ac:dyDescent="0.2">
      <c r="B130" s="76"/>
      <c r="C130" s="191"/>
      <c r="D130" s="191"/>
      <c r="E130" s="191"/>
      <c r="F130" s="71"/>
      <c r="G130" s="71"/>
      <c r="H130" s="191"/>
      <c r="I130" s="202"/>
      <c r="J130" s="202"/>
      <c r="K130" s="71"/>
      <c r="L130" s="71"/>
      <c r="M130" s="71"/>
      <c r="N130" s="71"/>
      <c r="O130" s="71"/>
      <c r="P130" s="191"/>
      <c r="Q130" s="78"/>
      <c r="R130" s="194"/>
    </row>
    <row r="131" spans="2:36" x14ac:dyDescent="0.2">
      <c r="B131" s="76"/>
      <c r="C131" s="191"/>
      <c r="D131" s="850" t="s">
        <v>1000</v>
      </c>
      <c r="E131" s="850"/>
      <c r="F131" s="71">
        <v>1</v>
      </c>
      <c r="G131" s="71"/>
      <c r="H131" s="191"/>
      <c r="I131" s="152">
        <v>0</v>
      </c>
      <c r="J131" s="152">
        <v>0</v>
      </c>
      <c r="K131" s="152">
        <f t="shared" ref="K131:M134" si="57">+J131</f>
        <v>0</v>
      </c>
      <c r="L131" s="152">
        <f t="shared" si="57"/>
        <v>0</v>
      </c>
      <c r="M131" s="152">
        <f t="shared" si="57"/>
        <v>0</v>
      </c>
      <c r="N131" s="152">
        <f>+M131</f>
        <v>0</v>
      </c>
      <c r="O131" s="152">
        <f t="shared" ref="O131:O134" si="58">+N131</f>
        <v>0</v>
      </c>
      <c r="P131" s="191"/>
      <c r="Q131" s="78"/>
      <c r="R131" s="194"/>
      <c r="AG131" s="196"/>
      <c r="AH131" s="196"/>
      <c r="AI131" s="196"/>
    </row>
    <row r="132" spans="2:36" x14ac:dyDescent="0.2">
      <c r="B132" s="76"/>
      <c r="C132" s="191"/>
      <c r="D132" s="191"/>
      <c r="E132" s="191"/>
      <c r="F132" s="71">
        <v>2</v>
      </c>
      <c r="G132" s="71"/>
      <c r="H132" s="191"/>
      <c r="I132" s="152">
        <v>0</v>
      </c>
      <c r="J132" s="152">
        <v>0</v>
      </c>
      <c r="K132" s="152">
        <f t="shared" si="57"/>
        <v>0</v>
      </c>
      <c r="L132" s="152">
        <f t="shared" si="57"/>
        <v>0</v>
      </c>
      <c r="M132" s="152">
        <f t="shared" si="57"/>
        <v>0</v>
      </c>
      <c r="N132" s="152">
        <f>+M132</f>
        <v>0</v>
      </c>
      <c r="O132" s="152">
        <f t="shared" si="58"/>
        <v>0</v>
      </c>
      <c r="P132" s="191"/>
      <c r="Q132" s="78"/>
      <c r="R132" s="194"/>
    </row>
    <row r="133" spans="2:36" x14ac:dyDescent="0.2">
      <c r="B133" s="76"/>
      <c r="C133" s="191"/>
      <c r="D133" s="191"/>
      <c r="E133" s="191"/>
      <c r="F133" s="71">
        <v>3</v>
      </c>
      <c r="G133" s="71"/>
      <c r="H133" s="191"/>
      <c r="I133" s="152">
        <v>0</v>
      </c>
      <c r="J133" s="152">
        <v>0</v>
      </c>
      <c r="K133" s="152">
        <f t="shared" si="57"/>
        <v>0</v>
      </c>
      <c r="L133" s="152">
        <f t="shared" si="57"/>
        <v>0</v>
      </c>
      <c r="M133" s="152">
        <f t="shared" si="57"/>
        <v>0</v>
      </c>
      <c r="N133" s="152">
        <f>+M133</f>
        <v>0</v>
      </c>
      <c r="O133" s="152">
        <f t="shared" si="58"/>
        <v>0</v>
      </c>
      <c r="P133" s="191"/>
      <c r="Q133" s="78"/>
      <c r="R133" s="194"/>
    </row>
    <row r="134" spans="2:36" hidden="1" x14ac:dyDescent="0.2">
      <c r="B134" s="76"/>
      <c r="C134" s="191"/>
      <c r="D134" s="493" t="s">
        <v>392</v>
      </c>
      <c r="E134" s="493"/>
      <c r="F134" s="71"/>
      <c r="G134" s="71"/>
      <c r="H134" s="191"/>
      <c r="I134" s="592">
        <f>tab!$D$78</f>
        <v>41.12</v>
      </c>
      <c r="J134" s="592">
        <f>tab!$D$78</f>
        <v>41.12</v>
      </c>
      <c r="K134" s="592">
        <f t="shared" si="57"/>
        <v>41.12</v>
      </c>
      <c r="L134" s="592">
        <f t="shared" si="57"/>
        <v>41.12</v>
      </c>
      <c r="M134" s="592">
        <f t="shared" si="57"/>
        <v>41.12</v>
      </c>
      <c r="N134" s="592">
        <f>+M134</f>
        <v>41.12</v>
      </c>
      <c r="O134" s="592">
        <f t="shared" si="58"/>
        <v>41.12</v>
      </c>
      <c r="P134" s="191"/>
      <c r="Q134" s="78"/>
      <c r="R134" s="194"/>
    </row>
    <row r="135" spans="2:36" x14ac:dyDescent="0.2">
      <c r="B135" s="76"/>
      <c r="C135" s="191"/>
      <c r="D135" s="191"/>
      <c r="E135" s="191"/>
      <c r="F135" s="71"/>
      <c r="G135" s="71"/>
      <c r="H135" s="191"/>
      <c r="I135" s="202"/>
      <c r="J135" s="202"/>
      <c r="K135" s="71"/>
      <c r="L135" s="71"/>
      <c r="M135" s="71"/>
      <c r="N135" s="71"/>
      <c r="O135" s="71"/>
      <c r="P135" s="191"/>
      <c r="Q135" s="78"/>
      <c r="R135" s="194"/>
    </row>
    <row r="136" spans="2:36" x14ac:dyDescent="0.2">
      <c r="B136" s="76"/>
      <c r="C136" s="191"/>
      <c r="D136" s="850" t="s">
        <v>1001</v>
      </c>
      <c r="E136" s="850"/>
      <c r="F136" s="71">
        <v>1</v>
      </c>
      <c r="G136" s="71"/>
      <c r="H136" s="191"/>
      <c r="I136" s="152">
        <v>0</v>
      </c>
      <c r="J136" s="152">
        <v>0</v>
      </c>
      <c r="K136" s="152">
        <f>J136</f>
        <v>0</v>
      </c>
      <c r="L136" s="152">
        <f t="shared" ref="L136:O136" si="59">K136</f>
        <v>0</v>
      </c>
      <c r="M136" s="152">
        <f t="shared" si="59"/>
        <v>0</v>
      </c>
      <c r="N136" s="152">
        <f t="shared" si="59"/>
        <v>0</v>
      </c>
      <c r="O136" s="152">
        <f t="shared" si="59"/>
        <v>0</v>
      </c>
      <c r="P136" s="191"/>
      <c r="Q136" s="78"/>
      <c r="R136" s="194"/>
      <c r="AF136" s="196"/>
    </row>
    <row r="137" spans="2:36" x14ac:dyDescent="0.2">
      <c r="B137" s="76"/>
      <c r="C137" s="191"/>
      <c r="D137" s="191"/>
      <c r="E137" s="191"/>
      <c r="F137" s="71">
        <v>2</v>
      </c>
      <c r="G137" s="71"/>
      <c r="H137" s="191"/>
      <c r="I137" s="152">
        <v>0</v>
      </c>
      <c r="J137" s="152">
        <v>0</v>
      </c>
      <c r="K137" s="152">
        <f t="shared" ref="K137:O138" si="60">J137</f>
        <v>0</v>
      </c>
      <c r="L137" s="152">
        <f t="shared" si="60"/>
        <v>0</v>
      </c>
      <c r="M137" s="152">
        <f t="shared" si="60"/>
        <v>0</v>
      </c>
      <c r="N137" s="152">
        <f t="shared" si="60"/>
        <v>0</v>
      </c>
      <c r="O137" s="152">
        <f t="shared" si="60"/>
        <v>0</v>
      </c>
      <c r="P137" s="191"/>
      <c r="Q137" s="78"/>
      <c r="R137" s="194"/>
      <c r="AG137" s="196"/>
      <c r="AH137" s="196"/>
      <c r="AI137" s="196"/>
    </row>
    <row r="138" spans="2:36" x14ac:dyDescent="0.2">
      <c r="B138" s="76"/>
      <c r="C138" s="191"/>
      <c r="D138" s="191"/>
      <c r="E138" s="191"/>
      <c r="F138" s="71">
        <v>3</v>
      </c>
      <c r="G138" s="71"/>
      <c r="H138" s="191"/>
      <c r="I138" s="152">
        <v>0</v>
      </c>
      <c r="J138" s="152">
        <v>0</v>
      </c>
      <c r="K138" s="152">
        <f t="shared" si="60"/>
        <v>0</v>
      </c>
      <c r="L138" s="152">
        <f t="shared" si="60"/>
        <v>0</v>
      </c>
      <c r="M138" s="152">
        <f t="shared" si="60"/>
        <v>0</v>
      </c>
      <c r="N138" s="152">
        <f t="shared" si="60"/>
        <v>0</v>
      </c>
      <c r="O138" s="152">
        <f t="shared" si="60"/>
        <v>0</v>
      </c>
      <c r="P138" s="191"/>
      <c r="Q138" s="78"/>
      <c r="R138" s="194"/>
    </row>
    <row r="139" spans="2:36" hidden="1" x14ac:dyDescent="0.2">
      <c r="B139" s="76"/>
      <c r="C139" s="191"/>
      <c r="D139" s="493" t="s">
        <v>392</v>
      </c>
      <c r="E139" s="493"/>
      <c r="F139" s="71"/>
      <c r="G139" s="71"/>
      <c r="H139" s="191"/>
      <c r="I139" s="592">
        <f>tab!$D$78</f>
        <v>41.12</v>
      </c>
      <c r="J139" s="592">
        <f>tab!$D$78</f>
        <v>41.12</v>
      </c>
      <c r="K139" s="592">
        <f t="shared" ref="K139:M139" si="61">+J139</f>
        <v>41.12</v>
      </c>
      <c r="L139" s="592">
        <f t="shared" si="61"/>
        <v>41.12</v>
      </c>
      <c r="M139" s="592">
        <f t="shared" si="61"/>
        <v>41.12</v>
      </c>
      <c r="N139" s="592">
        <f>+M139</f>
        <v>41.12</v>
      </c>
      <c r="O139" s="592">
        <f t="shared" ref="O139" si="62">+N139</f>
        <v>41.12</v>
      </c>
      <c r="P139" s="191"/>
      <c r="Q139" s="78"/>
      <c r="R139" s="194"/>
    </row>
    <row r="140" spans="2:36" x14ac:dyDescent="0.2">
      <c r="B140" s="76"/>
      <c r="C140" s="191"/>
      <c r="D140" s="191"/>
      <c r="E140" s="191"/>
      <c r="F140" s="71"/>
      <c r="G140" s="71"/>
      <c r="H140" s="191"/>
      <c r="I140" s="202"/>
      <c r="J140" s="202"/>
      <c r="K140" s="71"/>
      <c r="L140" s="71"/>
      <c r="M140" s="71"/>
      <c r="N140" s="71"/>
      <c r="O140" s="71"/>
      <c r="P140" s="191"/>
      <c r="Q140" s="78"/>
      <c r="R140" s="194"/>
    </row>
    <row r="141" spans="2:36" x14ac:dyDescent="0.2">
      <c r="B141" s="76"/>
      <c r="C141" s="191"/>
      <c r="D141" s="850" t="s">
        <v>1002</v>
      </c>
      <c r="E141" s="850"/>
      <c r="F141" s="71">
        <v>1</v>
      </c>
      <c r="G141" s="71"/>
      <c r="H141" s="191"/>
      <c r="I141" s="152">
        <v>0</v>
      </c>
      <c r="J141" s="152">
        <v>0</v>
      </c>
      <c r="K141" s="152">
        <f>J141</f>
        <v>0</v>
      </c>
      <c r="L141" s="152">
        <f t="shared" ref="L141:O141" si="63">K141</f>
        <v>0</v>
      </c>
      <c r="M141" s="152">
        <f t="shared" si="63"/>
        <v>0</v>
      </c>
      <c r="N141" s="152">
        <f t="shared" si="63"/>
        <v>0</v>
      </c>
      <c r="O141" s="152">
        <f t="shared" si="63"/>
        <v>0</v>
      </c>
      <c r="P141" s="191"/>
      <c r="Q141" s="78"/>
      <c r="R141" s="194"/>
    </row>
    <row r="142" spans="2:36" x14ac:dyDescent="0.2">
      <c r="B142" s="76"/>
      <c r="C142" s="191"/>
      <c r="D142" s="191"/>
      <c r="E142" s="191"/>
      <c r="F142" s="71">
        <v>2</v>
      </c>
      <c r="G142" s="71"/>
      <c r="H142" s="191"/>
      <c r="I142" s="152">
        <v>0</v>
      </c>
      <c r="J142" s="152">
        <v>0</v>
      </c>
      <c r="K142" s="152">
        <f t="shared" ref="K142:M144" si="64">+J142</f>
        <v>0</v>
      </c>
      <c r="L142" s="152">
        <f t="shared" ref="L142:L143" si="65">+K142</f>
        <v>0</v>
      </c>
      <c r="M142" s="152">
        <f t="shared" ref="M142:M143" si="66">+L142</f>
        <v>0</v>
      </c>
      <c r="N142" s="152">
        <f t="shared" ref="N142:N143" si="67">+M142</f>
        <v>0</v>
      </c>
      <c r="O142" s="152">
        <f t="shared" ref="O142:O143" si="68">+N142</f>
        <v>0</v>
      </c>
      <c r="P142" s="191"/>
      <c r="Q142" s="78"/>
      <c r="R142" s="194"/>
    </row>
    <row r="143" spans="2:36" x14ac:dyDescent="0.2">
      <c r="B143" s="76"/>
      <c r="C143" s="191"/>
      <c r="D143" s="191"/>
      <c r="E143" s="191"/>
      <c r="F143" s="71">
        <v>3</v>
      </c>
      <c r="G143" s="71"/>
      <c r="H143" s="191"/>
      <c r="I143" s="152">
        <v>0</v>
      </c>
      <c r="J143" s="152">
        <v>0</v>
      </c>
      <c r="K143" s="152">
        <f t="shared" si="64"/>
        <v>0</v>
      </c>
      <c r="L143" s="152">
        <f t="shared" si="65"/>
        <v>0</v>
      </c>
      <c r="M143" s="152">
        <f t="shared" si="66"/>
        <v>0</v>
      </c>
      <c r="N143" s="152">
        <f t="shared" si="67"/>
        <v>0</v>
      </c>
      <c r="O143" s="152">
        <f t="shared" si="68"/>
        <v>0</v>
      </c>
      <c r="P143" s="191"/>
      <c r="Q143" s="78"/>
      <c r="R143" s="194"/>
    </row>
    <row r="144" spans="2:36" hidden="1" x14ac:dyDescent="0.2">
      <c r="B144" s="76"/>
      <c r="C144" s="191"/>
      <c r="D144" s="493" t="s">
        <v>392</v>
      </c>
      <c r="E144" s="493"/>
      <c r="F144" s="71"/>
      <c r="G144" s="71"/>
      <c r="H144" s="191"/>
      <c r="I144" s="592">
        <f>tab!$D$78</f>
        <v>41.12</v>
      </c>
      <c r="J144" s="592">
        <f>tab!$D$78</f>
        <v>41.12</v>
      </c>
      <c r="K144" s="592">
        <f t="shared" si="64"/>
        <v>41.12</v>
      </c>
      <c r="L144" s="592">
        <f t="shared" si="64"/>
        <v>41.12</v>
      </c>
      <c r="M144" s="592">
        <f t="shared" si="64"/>
        <v>41.12</v>
      </c>
      <c r="N144" s="592">
        <f>+M144</f>
        <v>41.12</v>
      </c>
      <c r="O144" s="592">
        <f t="shared" ref="O144" si="69">+N144</f>
        <v>41.12</v>
      </c>
      <c r="P144" s="191"/>
      <c r="Q144" s="78"/>
      <c r="R144" s="194"/>
      <c r="S144" s="739"/>
      <c r="T144" s="739"/>
      <c r="U144" s="739"/>
      <c r="V144" s="739"/>
      <c r="W144" s="739"/>
      <c r="X144" s="739"/>
      <c r="Y144" s="739"/>
      <c r="Z144" s="739"/>
      <c r="AA144" s="739"/>
      <c r="AB144" s="739"/>
      <c r="AC144" s="739"/>
      <c r="AD144" s="739"/>
      <c r="AE144" s="739"/>
      <c r="AF144" s="739"/>
      <c r="AG144" s="739"/>
      <c r="AH144" s="739"/>
      <c r="AI144" s="739"/>
      <c r="AJ144" s="739"/>
    </row>
    <row r="145" spans="2:54" x14ac:dyDescent="0.2">
      <c r="B145" s="76"/>
      <c r="C145" s="191"/>
      <c r="D145" s="191"/>
      <c r="E145" s="191"/>
      <c r="F145" s="71"/>
      <c r="G145" s="71"/>
      <c r="H145" s="191"/>
      <c r="I145" s="202"/>
      <c r="J145" s="202"/>
      <c r="K145" s="71"/>
      <c r="L145" s="71"/>
      <c r="M145" s="71"/>
      <c r="N145" s="71"/>
      <c r="O145" s="71"/>
      <c r="P145" s="191"/>
      <c r="Q145" s="78"/>
      <c r="R145" s="194"/>
      <c r="S145" s="739"/>
      <c r="T145" s="739"/>
      <c r="U145" s="739"/>
      <c r="V145" s="739"/>
      <c r="W145" s="739"/>
      <c r="X145" s="739"/>
      <c r="Y145" s="739"/>
      <c r="Z145" s="739"/>
      <c r="AA145" s="739"/>
      <c r="AB145" s="739"/>
      <c r="AC145" s="739"/>
      <c r="AD145" s="739"/>
      <c r="AE145" s="739"/>
      <c r="AF145" s="739"/>
      <c r="AG145" s="739"/>
      <c r="AH145" s="739"/>
      <c r="AI145" s="739"/>
      <c r="AJ145" s="739"/>
    </row>
    <row r="146" spans="2:54" x14ac:dyDescent="0.2">
      <c r="B146" s="76"/>
      <c r="C146" s="191"/>
      <c r="D146" s="850" t="s">
        <v>778</v>
      </c>
      <c r="E146" s="850"/>
      <c r="F146" s="71">
        <v>1</v>
      </c>
      <c r="G146" s="71"/>
      <c r="H146" s="191"/>
      <c r="I146" s="152">
        <v>0</v>
      </c>
      <c r="J146" s="152">
        <v>0</v>
      </c>
      <c r="K146" s="152">
        <f t="shared" ref="K146:M149" si="70">+J146</f>
        <v>0</v>
      </c>
      <c r="L146" s="152">
        <f t="shared" si="70"/>
        <v>0</v>
      </c>
      <c r="M146" s="152">
        <f t="shared" si="70"/>
        <v>0</v>
      </c>
      <c r="N146" s="152">
        <f>+M146</f>
        <v>0</v>
      </c>
      <c r="O146" s="152">
        <f t="shared" ref="O146:O149" si="71">+N146</f>
        <v>0</v>
      </c>
      <c r="P146" s="191"/>
      <c r="Q146" s="78"/>
      <c r="R146" s="644"/>
      <c r="S146" s="739"/>
      <c r="T146" s="739"/>
      <c r="U146" s="739"/>
      <c r="V146" s="739"/>
      <c r="W146" s="739"/>
      <c r="X146" s="853"/>
      <c r="Y146" s="853"/>
      <c r="Z146" s="739"/>
      <c r="AA146" s="854"/>
      <c r="AB146" s="853"/>
      <c r="AC146" s="853"/>
      <c r="AD146" s="853"/>
      <c r="AE146" s="853"/>
      <c r="AF146" s="853"/>
      <c r="AG146" s="853"/>
      <c r="AH146" s="739"/>
      <c r="AI146" s="739"/>
      <c r="AJ146" s="739"/>
      <c r="BB146" s="171"/>
    </row>
    <row r="147" spans="2:54" x14ac:dyDescent="0.2">
      <c r="B147" s="76"/>
      <c r="C147" s="191"/>
      <c r="D147" s="191"/>
      <c r="E147" s="191"/>
      <c r="F147" s="71">
        <v>2</v>
      </c>
      <c r="G147" s="71"/>
      <c r="H147" s="191"/>
      <c r="I147" s="152">
        <v>0</v>
      </c>
      <c r="J147" s="152">
        <v>0</v>
      </c>
      <c r="K147" s="152">
        <f t="shared" si="70"/>
        <v>0</v>
      </c>
      <c r="L147" s="152">
        <f t="shared" si="70"/>
        <v>0</v>
      </c>
      <c r="M147" s="152">
        <f t="shared" si="70"/>
        <v>0</v>
      </c>
      <c r="N147" s="152">
        <f>+M147</f>
        <v>0</v>
      </c>
      <c r="O147" s="152">
        <f t="shared" si="71"/>
        <v>0</v>
      </c>
      <c r="P147" s="191"/>
      <c r="Q147" s="78"/>
      <c r="R147" s="644"/>
      <c r="S147" s="739"/>
      <c r="T147" s="739"/>
      <c r="U147" s="739"/>
      <c r="V147" s="739"/>
      <c r="W147" s="739"/>
      <c r="X147" s="853"/>
      <c r="Y147" s="853"/>
      <c r="Z147" s="739"/>
      <c r="AA147" s="854"/>
      <c r="AB147" s="853"/>
      <c r="AC147" s="853"/>
      <c r="AD147" s="853"/>
      <c r="AE147" s="853"/>
      <c r="AF147" s="853"/>
      <c r="AG147" s="853"/>
      <c r="AH147" s="739"/>
      <c r="AI147" s="739"/>
      <c r="AJ147" s="739"/>
    </row>
    <row r="148" spans="2:54" x14ac:dyDescent="0.2">
      <c r="B148" s="76"/>
      <c r="C148" s="191"/>
      <c r="D148" s="191"/>
      <c r="E148" s="191"/>
      <c r="F148" s="71">
        <v>3</v>
      </c>
      <c r="G148" s="71"/>
      <c r="H148" s="191"/>
      <c r="I148" s="152">
        <v>0</v>
      </c>
      <c r="J148" s="152">
        <v>0</v>
      </c>
      <c r="K148" s="152">
        <f t="shared" si="70"/>
        <v>0</v>
      </c>
      <c r="L148" s="152">
        <f t="shared" si="70"/>
        <v>0</v>
      </c>
      <c r="M148" s="152">
        <f t="shared" si="70"/>
        <v>0</v>
      </c>
      <c r="N148" s="152">
        <f>+M148</f>
        <v>0</v>
      </c>
      <c r="O148" s="152">
        <f t="shared" si="71"/>
        <v>0</v>
      </c>
      <c r="P148" s="191"/>
      <c r="Q148" s="78"/>
      <c r="R148" s="644"/>
      <c r="S148" s="739"/>
      <c r="T148" s="739"/>
      <c r="U148" s="739"/>
      <c r="V148" s="739"/>
      <c r="W148" s="739"/>
      <c r="X148" s="853"/>
      <c r="Y148" s="853"/>
      <c r="Z148" s="739"/>
      <c r="AA148" s="854"/>
      <c r="AB148" s="853"/>
      <c r="AC148" s="853"/>
      <c r="AD148" s="853"/>
      <c r="AE148" s="853"/>
      <c r="AF148" s="853"/>
      <c r="AG148" s="853"/>
      <c r="AH148" s="739"/>
      <c r="AI148" s="739"/>
      <c r="AJ148" s="739"/>
    </row>
    <row r="149" spans="2:54" hidden="1" x14ac:dyDescent="0.2">
      <c r="B149" s="76"/>
      <c r="C149" s="191"/>
      <c r="D149" s="493" t="s">
        <v>392</v>
      </c>
      <c r="E149" s="493"/>
      <c r="F149" s="71"/>
      <c r="G149" s="71"/>
      <c r="H149" s="191"/>
      <c r="I149" s="592">
        <f>tab!$D$78</f>
        <v>41.12</v>
      </c>
      <c r="J149" s="592">
        <f>tab!$D$78</f>
        <v>41.12</v>
      </c>
      <c r="K149" s="592">
        <f t="shared" si="70"/>
        <v>41.12</v>
      </c>
      <c r="L149" s="592">
        <f t="shared" si="70"/>
        <v>41.12</v>
      </c>
      <c r="M149" s="592">
        <f t="shared" si="70"/>
        <v>41.12</v>
      </c>
      <c r="N149" s="592">
        <f>+M149</f>
        <v>41.12</v>
      </c>
      <c r="O149" s="592">
        <f t="shared" si="71"/>
        <v>41.12</v>
      </c>
      <c r="P149" s="191"/>
      <c r="Q149" s="78"/>
      <c r="R149" s="644"/>
      <c r="S149" s="739"/>
      <c r="T149" s="739"/>
      <c r="U149" s="739"/>
      <c r="V149" s="739"/>
      <c r="W149" s="739"/>
      <c r="X149" s="853"/>
      <c r="Y149" s="853"/>
      <c r="Z149" s="739"/>
      <c r="AA149" s="855"/>
      <c r="AB149" s="855"/>
      <c r="AC149" s="855"/>
      <c r="AD149" s="855"/>
      <c r="AE149" s="855"/>
      <c r="AF149" s="855"/>
      <c r="AG149" s="855"/>
      <c r="AH149" s="739"/>
      <c r="AI149" s="739"/>
      <c r="AJ149" s="739"/>
    </row>
    <row r="150" spans="2:54" x14ac:dyDescent="0.2">
      <c r="B150" s="76"/>
      <c r="C150" s="191"/>
      <c r="D150" s="191"/>
      <c r="E150" s="191"/>
      <c r="F150" s="71"/>
      <c r="G150" s="71"/>
      <c r="H150" s="191"/>
      <c r="I150" s="202"/>
      <c r="J150" s="202"/>
      <c r="K150" s="71"/>
      <c r="L150" s="71"/>
      <c r="M150" s="71"/>
      <c r="N150" s="71"/>
      <c r="O150" s="71"/>
      <c r="P150" s="191"/>
      <c r="Q150" s="78"/>
      <c r="R150" s="644"/>
      <c r="S150" s="739"/>
      <c r="T150" s="739"/>
      <c r="U150" s="739"/>
      <c r="V150" s="739"/>
      <c r="W150" s="739"/>
      <c r="X150" s="853"/>
      <c r="Y150" s="853"/>
      <c r="Z150" s="739"/>
      <c r="AA150" s="855"/>
      <c r="AB150" s="855"/>
      <c r="AC150" s="855"/>
      <c r="AD150" s="855"/>
      <c r="AE150" s="855"/>
      <c r="AF150" s="855"/>
      <c r="AG150" s="855"/>
      <c r="AH150" s="739"/>
      <c r="AI150" s="739"/>
      <c r="AJ150" s="739"/>
    </row>
    <row r="151" spans="2:54" x14ac:dyDescent="0.2">
      <c r="B151" s="76"/>
      <c r="C151" s="191"/>
      <c r="D151" s="850" t="s">
        <v>779</v>
      </c>
      <c r="E151" s="850"/>
      <c r="F151" s="71">
        <v>1</v>
      </c>
      <c r="G151" s="71"/>
      <c r="H151" s="191"/>
      <c r="I151" s="152">
        <v>0</v>
      </c>
      <c r="J151" s="152">
        <v>0</v>
      </c>
      <c r="K151" s="152">
        <f t="shared" ref="K151:M154" si="72">+J151</f>
        <v>0</v>
      </c>
      <c r="L151" s="152">
        <f t="shared" si="72"/>
        <v>0</v>
      </c>
      <c r="M151" s="152">
        <f t="shared" si="72"/>
        <v>0</v>
      </c>
      <c r="N151" s="152">
        <f>+M151</f>
        <v>0</v>
      </c>
      <c r="O151" s="152">
        <f t="shared" ref="O151:O154" si="73">+N151</f>
        <v>0</v>
      </c>
      <c r="P151" s="191"/>
      <c r="Q151" s="78"/>
      <c r="R151" s="644"/>
      <c r="S151" s="739"/>
      <c r="T151" s="739"/>
      <c r="U151" s="739"/>
      <c r="V151" s="739"/>
      <c r="W151" s="739"/>
      <c r="X151" s="739"/>
      <c r="Y151" s="739"/>
      <c r="Z151" s="739"/>
      <c r="AA151" s="739"/>
      <c r="AB151" s="739"/>
      <c r="AC151" s="739"/>
      <c r="AD151" s="739"/>
      <c r="AE151" s="739"/>
      <c r="AF151" s="739"/>
      <c r="AG151" s="739"/>
      <c r="AH151" s="739"/>
      <c r="AI151" s="739"/>
      <c r="AJ151" s="739"/>
    </row>
    <row r="152" spans="2:54" x14ac:dyDescent="0.2">
      <c r="B152" s="76"/>
      <c r="C152" s="191"/>
      <c r="D152" s="191"/>
      <c r="E152" s="191"/>
      <c r="F152" s="71">
        <v>2</v>
      </c>
      <c r="G152" s="71"/>
      <c r="H152" s="191"/>
      <c r="I152" s="152">
        <v>0</v>
      </c>
      <c r="J152" s="152">
        <v>0</v>
      </c>
      <c r="K152" s="152">
        <f t="shared" si="72"/>
        <v>0</v>
      </c>
      <c r="L152" s="152">
        <f t="shared" si="72"/>
        <v>0</v>
      </c>
      <c r="M152" s="152">
        <f t="shared" si="72"/>
        <v>0</v>
      </c>
      <c r="N152" s="152">
        <f>+M152</f>
        <v>0</v>
      </c>
      <c r="O152" s="152">
        <f t="shared" si="73"/>
        <v>0</v>
      </c>
      <c r="P152" s="191"/>
      <c r="Q152" s="78"/>
      <c r="R152" s="644"/>
    </row>
    <row r="153" spans="2:54" x14ac:dyDescent="0.2">
      <c r="B153" s="76"/>
      <c r="C153" s="191"/>
      <c r="D153" s="191"/>
      <c r="E153" s="191"/>
      <c r="F153" s="71">
        <v>3</v>
      </c>
      <c r="G153" s="71"/>
      <c r="H153" s="191"/>
      <c r="I153" s="152">
        <v>0</v>
      </c>
      <c r="J153" s="152">
        <v>0</v>
      </c>
      <c r="K153" s="152">
        <f t="shared" si="72"/>
        <v>0</v>
      </c>
      <c r="L153" s="152">
        <f t="shared" si="72"/>
        <v>0</v>
      </c>
      <c r="M153" s="152">
        <f t="shared" si="72"/>
        <v>0</v>
      </c>
      <c r="N153" s="152">
        <f>+M153</f>
        <v>0</v>
      </c>
      <c r="O153" s="152">
        <f t="shared" si="73"/>
        <v>0</v>
      </c>
      <c r="P153" s="191"/>
      <c r="Q153" s="78"/>
      <c r="R153" s="644"/>
    </row>
    <row r="154" spans="2:54" hidden="1" x14ac:dyDescent="0.2">
      <c r="B154" s="76"/>
      <c r="C154" s="191"/>
      <c r="D154" s="493" t="s">
        <v>392</v>
      </c>
      <c r="E154" s="493"/>
      <c r="F154" s="71"/>
      <c r="G154" s="71"/>
      <c r="H154" s="191"/>
      <c r="I154" s="592">
        <f>tab!$D$78</f>
        <v>41.12</v>
      </c>
      <c r="J154" s="592">
        <f>tab!$D$78</f>
        <v>41.12</v>
      </c>
      <c r="K154" s="592">
        <f t="shared" si="72"/>
        <v>41.12</v>
      </c>
      <c r="L154" s="592">
        <f t="shared" si="72"/>
        <v>41.12</v>
      </c>
      <c r="M154" s="592">
        <f t="shared" si="72"/>
        <v>41.12</v>
      </c>
      <c r="N154" s="592">
        <f>+M154</f>
        <v>41.12</v>
      </c>
      <c r="O154" s="592">
        <f t="shared" si="73"/>
        <v>41.12</v>
      </c>
      <c r="P154" s="191"/>
      <c r="Q154" s="78"/>
      <c r="R154" s="644"/>
    </row>
    <row r="155" spans="2:54" x14ac:dyDescent="0.2">
      <c r="B155" s="76"/>
      <c r="C155" s="191"/>
      <c r="D155" s="191"/>
      <c r="E155" s="191"/>
      <c r="F155" s="71"/>
      <c r="G155" s="71"/>
      <c r="H155" s="191"/>
      <c r="I155" s="202"/>
      <c r="J155" s="202"/>
      <c r="K155" s="71"/>
      <c r="L155" s="71"/>
      <c r="M155" s="71"/>
      <c r="N155" s="71"/>
      <c r="O155" s="71"/>
      <c r="P155" s="191"/>
      <c r="Q155" s="78"/>
      <c r="R155" s="644"/>
      <c r="AJ155" s="196"/>
    </row>
    <row r="156" spans="2:54" x14ac:dyDescent="0.2">
      <c r="B156" s="76"/>
      <c r="C156" s="191"/>
      <c r="D156" s="850" t="s">
        <v>780</v>
      </c>
      <c r="E156" s="850"/>
      <c r="F156" s="71">
        <v>1</v>
      </c>
      <c r="G156" s="71"/>
      <c r="H156" s="191"/>
      <c r="I156" s="152">
        <v>0</v>
      </c>
      <c r="J156" s="152">
        <v>0</v>
      </c>
      <c r="K156" s="152">
        <f t="shared" ref="K156:M159" si="74">+J156</f>
        <v>0</v>
      </c>
      <c r="L156" s="152">
        <f t="shared" si="74"/>
        <v>0</v>
      </c>
      <c r="M156" s="152">
        <f t="shared" si="74"/>
        <v>0</v>
      </c>
      <c r="N156" s="152">
        <f>+M156</f>
        <v>0</v>
      </c>
      <c r="O156" s="152">
        <f t="shared" ref="O156:O159" si="75">+N156</f>
        <v>0</v>
      </c>
      <c r="P156" s="191"/>
      <c r="Q156" s="78"/>
      <c r="R156" s="644"/>
    </row>
    <row r="157" spans="2:54" x14ac:dyDescent="0.2">
      <c r="B157" s="76"/>
      <c r="C157" s="191"/>
      <c r="D157" s="191"/>
      <c r="E157" s="191"/>
      <c r="F157" s="71">
        <v>2</v>
      </c>
      <c r="G157" s="71"/>
      <c r="H157" s="191"/>
      <c r="I157" s="152">
        <v>0</v>
      </c>
      <c r="J157" s="152">
        <v>0</v>
      </c>
      <c r="K157" s="152">
        <f t="shared" si="74"/>
        <v>0</v>
      </c>
      <c r="L157" s="152">
        <f t="shared" si="74"/>
        <v>0</v>
      </c>
      <c r="M157" s="152">
        <f t="shared" si="74"/>
        <v>0</v>
      </c>
      <c r="N157" s="152">
        <f>+M157</f>
        <v>0</v>
      </c>
      <c r="O157" s="152">
        <f t="shared" si="75"/>
        <v>0</v>
      </c>
      <c r="P157" s="191"/>
      <c r="Q157" s="78"/>
      <c r="R157" s="644"/>
    </row>
    <row r="158" spans="2:54" x14ac:dyDescent="0.2">
      <c r="B158" s="76"/>
      <c r="C158" s="191"/>
      <c r="D158" s="191"/>
      <c r="E158" s="191"/>
      <c r="F158" s="71">
        <v>3</v>
      </c>
      <c r="G158" s="71"/>
      <c r="H158" s="191"/>
      <c r="I158" s="152">
        <v>0</v>
      </c>
      <c r="J158" s="152">
        <v>0</v>
      </c>
      <c r="K158" s="152">
        <f t="shared" si="74"/>
        <v>0</v>
      </c>
      <c r="L158" s="152">
        <f t="shared" si="74"/>
        <v>0</v>
      </c>
      <c r="M158" s="152">
        <f t="shared" si="74"/>
        <v>0</v>
      </c>
      <c r="N158" s="152">
        <f>+M158</f>
        <v>0</v>
      </c>
      <c r="O158" s="152">
        <f t="shared" si="75"/>
        <v>0</v>
      </c>
      <c r="P158" s="191"/>
      <c r="Q158" s="78"/>
      <c r="R158" s="644"/>
    </row>
    <row r="159" spans="2:54" hidden="1" x14ac:dyDescent="0.2">
      <c r="B159" s="76"/>
      <c r="C159" s="191"/>
      <c r="D159" s="493" t="s">
        <v>392</v>
      </c>
      <c r="E159" s="493"/>
      <c r="F159" s="71"/>
      <c r="G159" s="71"/>
      <c r="H159" s="191"/>
      <c r="I159" s="592">
        <f>tab!$D$78</f>
        <v>41.12</v>
      </c>
      <c r="J159" s="592">
        <f>tab!$D$78</f>
        <v>41.12</v>
      </c>
      <c r="K159" s="592">
        <f t="shared" si="74"/>
        <v>41.12</v>
      </c>
      <c r="L159" s="592">
        <f t="shared" si="74"/>
        <v>41.12</v>
      </c>
      <c r="M159" s="592">
        <f t="shared" si="74"/>
        <v>41.12</v>
      </c>
      <c r="N159" s="592">
        <f>+M159</f>
        <v>41.12</v>
      </c>
      <c r="O159" s="592">
        <f t="shared" si="75"/>
        <v>41.12</v>
      </c>
      <c r="P159" s="191"/>
      <c r="Q159" s="78"/>
      <c r="R159" s="644"/>
    </row>
    <row r="160" spans="2:54" x14ac:dyDescent="0.2">
      <c r="B160" s="76"/>
      <c r="C160" s="191"/>
      <c r="D160" s="191"/>
      <c r="E160" s="191"/>
      <c r="F160" s="71"/>
      <c r="G160" s="71"/>
      <c r="H160" s="191"/>
      <c r="I160" s="202"/>
      <c r="J160" s="202"/>
      <c r="K160" s="71"/>
      <c r="L160" s="71"/>
      <c r="M160" s="71"/>
      <c r="N160" s="71"/>
      <c r="O160" s="71"/>
      <c r="P160" s="191"/>
      <c r="Q160" s="78"/>
      <c r="R160" s="644"/>
      <c r="S160" s="196"/>
    </row>
    <row r="161" spans="2:18" x14ac:dyDescent="0.2">
      <c r="B161" s="76"/>
      <c r="C161" s="191"/>
      <c r="D161" s="850" t="s">
        <v>623</v>
      </c>
      <c r="E161" s="850"/>
      <c r="F161" s="71">
        <v>1</v>
      </c>
      <c r="G161" s="71"/>
      <c r="H161" s="191"/>
      <c r="I161" s="152">
        <v>0</v>
      </c>
      <c r="J161" s="152">
        <v>0</v>
      </c>
      <c r="K161" s="152">
        <f t="shared" ref="K161:M164" si="76">+J161</f>
        <v>0</v>
      </c>
      <c r="L161" s="152">
        <f t="shared" si="76"/>
        <v>0</v>
      </c>
      <c r="M161" s="152">
        <f t="shared" si="76"/>
        <v>0</v>
      </c>
      <c r="N161" s="152">
        <f>+M161</f>
        <v>0</v>
      </c>
      <c r="O161" s="152">
        <f t="shared" ref="O161:O164" si="77">+N161</f>
        <v>0</v>
      </c>
      <c r="P161" s="191"/>
      <c r="Q161" s="78"/>
      <c r="R161" s="644"/>
    </row>
    <row r="162" spans="2:18" x14ac:dyDescent="0.2">
      <c r="B162" s="76"/>
      <c r="C162" s="191"/>
      <c r="D162" s="191"/>
      <c r="E162" s="191"/>
      <c r="F162" s="71">
        <v>2</v>
      </c>
      <c r="G162" s="71"/>
      <c r="H162" s="191"/>
      <c r="I162" s="152">
        <v>0</v>
      </c>
      <c r="J162" s="152">
        <v>0</v>
      </c>
      <c r="K162" s="152">
        <f t="shared" si="76"/>
        <v>0</v>
      </c>
      <c r="L162" s="152">
        <f t="shared" si="76"/>
        <v>0</v>
      </c>
      <c r="M162" s="152">
        <f t="shared" si="76"/>
        <v>0</v>
      </c>
      <c r="N162" s="152">
        <f>+M162</f>
        <v>0</v>
      </c>
      <c r="O162" s="152">
        <f t="shared" si="77"/>
        <v>0</v>
      </c>
      <c r="P162" s="191"/>
      <c r="Q162" s="78"/>
      <c r="R162" s="644"/>
    </row>
    <row r="163" spans="2:18" x14ac:dyDescent="0.2">
      <c r="B163" s="76"/>
      <c r="C163" s="191"/>
      <c r="D163" s="191"/>
      <c r="E163" s="191"/>
      <c r="F163" s="71">
        <v>3</v>
      </c>
      <c r="G163" s="71"/>
      <c r="H163" s="191"/>
      <c r="I163" s="152">
        <v>0</v>
      </c>
      <c r="J163" s="152">
        <v>0</v>
      </c>
      <c r="K163" s="152">
        <f t="shared" si="76"/>
        <v>0</v>
      </c>
      <c r="L163" s="152">
        <f t="shared" si="76"/>
        <v>0</v>
      </c>
      <c r="M163" s="152">
        <f t="shared" si="76"/>
        <v>0</v>
      </c>
      <c r="N163" s="152">
        <f>+M163</f>
        <v>0</v>
      </c>
      <c r="O163" s="152">
        <f t="shared" si="77"/>
        <v>0</v>
      </c>
      <c r="P163" s="191"/>
      <c r="Q163" s="78"/>
      <c r="R163" s="194"/>
    </row>
    <row r="164" spans="2:18" hidden="1" x14ac:dyDescent="0.2">
      <c r="B164" s="76"/>
      <c r="C164" s="191"/>
      <c r="D164" s="493" t="s">
        <v>392</v>
      </c>
      <c r="E164" s="493"/>
      <c r="F164" s="71"/>
      <c r="G164" s="71"/>
      <c r="H164" s="191"/>
      <c r="I164" s="592">
        <f>tab!$D$78</f>
        <v>41.12</v>
      </c>
      <c r="J164" s="592">
        <f>tab!$D$78</f>
        <v>41.12</v>
      </c>
      <c r="K164" s="592">
        <f t="shared" si="76"/>
        <v>41.12</v>
      </c>
      <c r="L164" s="592">
        <f t="shared" si="76"/>
        <v>41.12</v>
      </c>
      <c r="M164" s="592">
        <f t="shared" si="76"/>
        <v>41.12</v>
      </c>
      <c r="N164" s="592">
        <f>+M164</f>
        <v>41.12</v>
      </c>
      <c r="O164" s="592">
        <f t="shared" si="77"/>
        <v>41.12</v>
      </c>
      <c r="P164" s="191"/>
      <c r="Q164" s="78"/>
      <c r="R164" s="194"/>
    </row>
    <row r="165" spans="2:18" x14ac:dyDescent="0.2">
      <c r="B165" s="76"/>
      <c r="C165" s="191"/>
      <c r="D165" s="191"/>
      <c r="E165" s="191"/>
      <c r="F165" s="71"/>
      <c r="G165" s="71"/>
      <c r="H165" s="191"/>
      <c r="I165" s="202"/>
      <c r="J165" s="202"/>
      <c r="K165" s="71"/>
      <c r="L165" s="71"/>
      <c r="M165" s="71"/>
      <c r="N165" s="71"/>
      <c r="O165" s="71"/>
      <c r="P165" s="191"/>
      <c r="Q165" s="78"/>
      <c r="R165" s="194"/>
    </row>
    <row r="166" spans="2:18" x14ac:dyDescent="0.2">
      <c r="B166" s="76"/>
      <c r="C166" s="191"/>
      <c r="D166" s="850" t="s">
        <v>624</v>
      </c>
      <c r="E166" s="851"/>
      <c r="F166" s="71">
        <v>1</v>
      </c>
      <c r="G166" s="71"/>
      <c r="H166" s="191"/>
      <c r="I166" s="152">
        <v>0</v>
      </c>
      <c r="J166" s="152">
        <v>0</v>
      </c>
      <c r="K166" s="152">
        <f t="shared" ref="K166:M169" si="78">+J166</f>
        <v>0</v>
      </c>
      <c r="L166" s="152">
        <f t="shared" si="78"/>
        <v>0</v>
      </c>
      <c r="M166" s="152">
        <f t="shared" si="78"/>
        <v>0</v>
      </c>
      <c r="N166" s="152">
        <f>+M166</f>
        <v>0</v>
      </c>
      <c r="O166" s="152">
        <f t="shared" ref="O166:O169" si="79">+N166</f>
        <v>0</v>
      </c>
      <c r="P166" s="191"/>
      <c r="Q166" s="78"/>
      <c r="R166" s="194"/>
    </row>
    <row r="167" spans="2:18" x14ac:dyDescent="0.2">
      <c r="B167" s="76"/>
      <c r="C167" s="191"/>
      <c r="D167" s="191"/>
      <c r="E167" s="191"/>
      <c r="F167" s="71">
        <v>2</v>
      </c>
      <c r="G167" s="71"/>
      <c r="H167" s="191"/>
      <c r="I167" s="152">
        <v>0</v>
      </c>
      <c r="J167" s="152">
        <v>0</v>
      </c>
      <c r="K167" s="152">
        <f t="shared" si="78"/>
        <v>0</v>
      </c>
      <c r="L167" s="152">
        <f t="shared" si="78"/>
        <v>0</v>
      </c>
      <c r="M167" s="152">
        <f t="shared" si="78"/>
        <v>0</v>
      </c>
      <c r="N167" s="152">
        <f>+M167</f>
        <v>0</v>
      </c>
      <c r="O167" s="152">
        <f t="shared" si="79"/>
        <v>0</v>
      </c>
      <c r="P167" s="191"/>
      <c r="Q167" s="78"/>
      <c r="R167" s="194"/>
    </row>
    <row r="168" spans="2:18" x14ac:dyDescent="0.2">
      <c r="B168" s="76"/>
      <c r="C168" s="191"/>
      <c r="D168" s="191"/>
      <c r="E168" s="191"/>
      <c r="F168" s="71">
        <v>3</v>
      </c>
      <c r="G168" s="71"/>
      <c r="H168" s="191"/>
      <c r="I168" s="152">
        <v>0</v>
      </c>
      <c r="J168" s="152">
        <v>0</v>
      </c>
      <c r="K168" s="152">
        <f t="shared" si="78"/>
        <v>0</v>
      </c>
      <c r="L168" s="152">
        <f t="shared" si="78"/>
        <v>0</v>
      </c>
      <c r="M168" s="152">
        <f t="shared" si="78"/>
        <v>0</v>
      </c>
      <c r="N168" s="152">
        <f>+M168</f>
        <v>0</v>
      </c>
      <c r="O168" s="152">
        <f t="shared" si="79"/>
        <v>0</v>
      </c>
      <c r="P168" s="191"/>
      <c r="Q168" s="78"/>
      <c r="R168" s="194"/>
    </row>
    <row r="169" spans="2:18" hidden="1" x14ac:dyDescent="0.2">
      <c r="B169" s="76"/>
      <c r="C169" s="191"/>
      <c r="D169" s="493" t="s">
        <v>392</v>
      </c>
      <c r="E169" s="493"/>
      <c r="F169" s="71"/>
      <c r="G169" s="71"/>
      <c r="H169" s="191"/>
      <c r="I169" s="592">
        <f>tab!$D$78</f>
        <v>41.12</v>
      </c>
      <c r="J169" s="592">
        <f>tab!$D$78</f>
        <v>41.12</v>
      </c>
      <c r="K169" s="592">
        <f t="shared" si="78"/>
        <v>41.12</v>
      </c>
      <c r="L169" s="592">
        <f t="shared" si="78"/>
        <v>41.12</v>
      </c>
      <c r="M169" s="592">
        <f t="shared" si="78"/>
        <v>41.12</v>
      </c>
      <c r="N169" s="592">
        <f>+M169</f>
        <v>41.12</v>
      </c>
      <c r="O169" s="592">
        <f t="shared" si="79"/>
        <v>41.12</v>
      </c>
      <c r="P169" s="191"/>
      <c r="Q169" s="78"/>
      <c r="R169" s="194"/>
    </row>
    <row r="170" spans="2:18" x14ac:dyDescent="0.2">
      <c r="B170" s="76"/>
      <c r="C170" s="191"/>
      <c r="D170" s="191"/>
      <c r="E170" s="191"/>
      <c r="F170" s="71"/>
      <c r="G170" s="71"/>
      <c r="H170" s="191"/>
      <c r="I170" s="202"/>
      <c r="J170" s="202"/>
      <c r="K170" s="71"/>
      <c r="L170" s="71"/>
      <c r="M170" s="71"/>
      <c r="N170" s="71"/>
      <c r="O170" s="71"/>
      <c r="P170" s="191"/>
      <c r="Q170" s="78"/>
      <c r="R170" s="194"/>
    </row>
    <row r="171" spans="2:18" x14ac:dyDescent="0.2">
      <c r="B171" s="76"/>
      <c r="C171" s="191"/>
      <c r="D171" s="850" t="s">
        <v>625</v>
      </c>
      <c r="E171" s="535"/>
      <c r="F171" s="71">
        <v>1</v>
      </c>
      <c r="G171" s="71"/>
      <c r="H171" s="191"/>
      <c r="I171" s="152">
        <v>0</v>
      </c>
      <c r="J171" s="152">
        <v>0</v>
      </c>
      <c r="K171" s="152">
        <f t="shared" ref="K171:M174" si="80">+J171</f>
        <v>0</v>
      </c>
      <c r="L171" s="152">
        <f t="shared" si="80"/>
        <v>0</v>
      </c>
      <c r="M171" s="152">
        <f t="shared" si="80"/>
        <v>0</v>
      </c>
      <c r="N171" s="152">
        <f>+M171</f>
        <v>0</v>
      </c>
      <c r="O171" s="152">
        <f t="shared" ref="O171:O174" si="81">+N171</f>
        <v>0</v>
      </c>
      <c r="P171" s="191"/>
      <c r="Q171" s="78"/>
      <c r="R171" s="194"/>
    </row>
    <row r="172" spans="2:18" x14ac:dyDescent="0.2">
      <c r="B172" s="76"/>
      <c r="C172" s="191"/>
      <c r="D172" s="191"/>
      <c r="E172" s="191"/>
      <c r="F172" s="71">
        <v>2</v>
      </c>
      <c r="G172" s="71"/>
      <c r="H172" s="191"/>
      <c r="I172" s="152">
        <v>0</v>
      </c>
      <c r="J172" s="152">
        <v>0</v>
      </c>
      <c r="K172" s="152">
        <f t="shared" si="80"/>
        <v>0</v>
      </c>
      <c r="L172" s="152">
        <f t="shared" si="80"/>
        <v>0</v>
      </c>
      <c r="M172" s="152">
        <f t="shared" si="80"/>
        <v>0</v>
      </c>
      <c r="N172" s="152">
        <f>+M172</f>
        <v>0</v>
      </c>
      <c r="O172" s="152">
        <f t="shared" si="81"/>
        <v>0</v>
      </c>
      <c r="P172" s="191"/>
      <c r="Q172" s="78"/>
      <c r="R172" s="194"/>
    </row>
    <row r="173" spans="2:18" x14ac:dyDescent="0.2">
      <c r="B173" s="76"/>
      <c r="C173" s="191"/>
      <c r="D173" s="191"/>
      <c r="E173" s="191"/>
      <c r="F173" s="71">
        <v>3</v>
      </c>
      <c r="G173" s="71"/>
      <c r="H173" s="191"/>
      <c r="I173" s="152">
        <v>0</v>
      </c>
      <c r="J173" s="152">
        <v>0</v>
      </c>
      <c r="K173" s="152">
        <f t="shared" si="80"/>
        <v>0</v>
      </c>
      <c r="L173" s="152">
        <f t="shared" si="80"/>
        <v>0</v>
      </c>
      <c r="M173" s="152">
        <f t="shared" si="80"/>
        <v>0</v>
      </c>
      <c r="N173" s="152">
        <f>+M173</f>
        <v>0</v>
      </c>
      <c r="O173" s="152">
        <f t="shared" si="81"/>
        <v>0</v>
      </c>
      <c r="P173" s="191"/>
      <c r="Q173" s="78"/>
      <c r="R173" s="194"/>
    </row>
    <row r="174" spans="2:18" hidden="1" x14ac:dyDescent="0.2">
      <c r="B174" s="76"/>
      <c r="C174" s="191"/>
      <c r="D174" s="493" t="s">
        <v>392</v>
      </c>
      <c r="E174" s="493"/>
      <c r="F174" s="71"/>
      <c r="G174" s="71"/>
      <c r="H174" s="191"/>
      <c r="I174" s="592">
        <f>tab!$D$78</f>
        <v>41.12</v>
      </c>
      <c r="J174" s="592">
        <f>tab!$D$78</f>
        <v>41.12</v>
      </c>
      <c r="K174" s="592">
        <f t="shared" si="80"/>
        <v>41.12</v>
      </c>
      <c r="L174" s="592">
        <f t="shared" si="80"/>
        <v>41.12</v>
      </c>
      <c r="M174" s="592">
        <f t="shared" si="80"/>
        <v>41.12</v>
      </c>
      <c r="N174" s="592">
        <f>+M174</f>
        <v>41.12</v>
      </c>
      <c r="O174" s="592">
        <f t="shared" si="81"/>
        <v>41.12</v>
      </c>
      <c r="P174" s="191"/>
      <c r="Q174" s="78"/>
      <c r="R174" s="194"/>
    </row>
    <row r="175" spans="2:18" x14ac:dyDescent="0.2">
      <c r="B175" s="76"/>
      <c r="C175" s="191"/>
      <c r="D175" s="191"/>
      <c r="E175" s="191"/>
      <c r="F175" s="71"/>
      <c r="G175" s="71"/>
      <c r="H175" s="191"/>
      <c r="I175" s="202"/>
      <c r="J175" s="202"/>
      <c r="K175" s="71"/>
      <c r="L175" s="71"/>
      <c r="M175" s="71"/>
      <c r="N175" s="71"/>
      <c r="O175" s="71"/>
      <c r="P175" s="191"/>
      <c r="Q175" s="78"/>
      <c r="R175" s="194"/>
    </row>
    <row r="176" spans="2:18" x14ac:dyDescent="0.2">
      <c r="B176" s="76"/>
      <c r="C176" s="191"/>
      <c r="D176" s="850" t="s">
        <v>626</v>
      </c>
      <c r="E176" s="535"/>
      <c r="F176" s="71">
        <v>1</v>
      </c>
      <c r="G176" s="71"/>
      <c r="H176" s="191"/>
      <c r="I176" s="152">
        <v>0</v>
      </c>
      <c r="J176" s="152">
        <v>0</v>
      </c>
      <c r="K176" s="152">
        <f t="shared" ref="K176:M179" si="82">+J176</f>
        <v>0</v>
      </c>
      <c r="L176" s="152">
        <f t="shared" si="82"/>
        <v>0</v>
      </c>
      <c r="M176" s="152">
        <f t="shared" si="82"/>
        <v>0</v>
      </c>
      <c r="N176" s="152">
        <f>+M176</f>
        <v>0</v>
      </c>
      <c r="O176" s="152">
        <f t="shared" ref="O176:O179" si="83">+N176</f>
        <v>0</v>
      </c>
      <c r="P176" s="191"/>
      <c r="Q176" s="78"/>
      <c r="R176" s="194"/>
    </row>
    <row r="177" spans="2:19" x14ac:dyDescent="0.2">
      <c r="B177" s="76"/>
      <c r="C177" s="191"/>
      <c r="D177" s="191"/>
      <c r="E177" s="191"/>
      <c r="F177" s="71">
        <v>2</v>
      </c>
      <c r="G177" s="71"/>
      <c r="H177" s="191"/>
      <c r="I177" s="152">
        <v>0</v>
      </c>
      <c r="J177" s="152">
        <v>0</v>
      </c>
      <c r="K177" s="152">
        <f t="shared" si="82"/>
        <v>0</v>
      </c>
      <c r="L177" s="152">
        <f t="shared" si="82"/>
        <v>0</v>
      </c>
      <c r="M177" s="152">
        <f t="shared" si="82"/>
        <v>0</v>
      </c>
      <c r="N177" s="152">
        <f>+M177</f>
        <v>0</v>
      </c>
      <c r="O177" s="152">
        <f t="shared" si="83"/>
        <v>0</v>
      </c>
      <c r="P177" s="191"/>
      <c r="Q177" s="78"/>
      <c r="R177" s="194"/>
    </row>
    <row r="178" spans="2:19" x14ac:dyDescent="0.2">
      <c r="B178" s="76"/>
      <c r="C178" s="191"/>
      <c r="D178" s="191"/>
      <c r="E178" s="191"/>
      <c r="F178" s="71">
        <v>3</v>
      </c>
      <c r="G178" s="71"/>
      <c r="H178" s="191"/>
      <c r="I178" s="152">
        <v>0</v>
      </c>
      <c r="J178" s="152">
        <v>0</v>
      </c>
      <c r="K178" s="152">
        <f t="shared" si="82"/>
        <v>0</v>
      </c>
      <c r="L178" s="152">
        <f t="shared" si="82"/>
        <v>0</v>
      </c>
      <c r="M178" s="152">
        <f t="shared" si="82"/>
        <v>0</v>
      </c>
      <c r="N178" s="152">
        <f>+M178</f>
        <v>0</v>
      </c>
      <c r="O178" s="152">
        <f t="shared" si="83"/>
        <v>0</v>
      </c>
      <c r="P178" s="191"/>
      <c r="Q178" s="78"/>
      <c r="R178" s="194"/>
    </row>
    <row r="179" spans="2:19" hidden="1" x14ac:dyDescent="0.2">
      <c r="B179" s="76"/>
      <c r="C179" s="191"/>
      <c r="D179" s="493" t="s">
        <v>392</v>
      </c>
      <c r="E179" s="493"/>
      <c r="F179" s="71"/>
      <c r="G179" s="71"/>
      <c r="H179" s="191"/>
      <c r="I179" s="592">
        <f>tab!$D$78</f>
        <v>41.12</v>
      </c>
      <c r="J179" s="592">
        <f>tab!$D$78</f>
        <v>41.12</v>
      </c>
      <c r="K179" s="592">
        <f t="shared" si="82"/>
        <v>41.12</v>
      </c>
      <c r="L179" s="592">
        <f t="shared" si="82"/>
        <v>41.12</v>
      </c>
      <c r="M179" s="592">
        <f t="shared" si="82"/>
        <v>41.12</v>
      </c>
      <c r="N179" s="592">
        <f>+M179</f>
        <v>41.12</v>
      </c>
      <c r="O179" s="592">
        <f t="shared" si="83"/>
        <v>41.12</v>
      </c>
      <c r="P179" s="191"/>
      <c r="Q179" s="78"/>
      <c r="R179" s="194"/>
    </row>
    <row r="180" spans="2:19" x14ac:dyDescent="0.2">
      <c r="B180" s="76"/>
      <c r="C180" s="191"/>
      <c r="D180" s="191"/>
      <c r="E180" s="191"/>
      <c r="F180" s="71"/>
      <c r="G180" s="71"/>
      <c r="H180" s="191"/>
      <c r="I180" s="202"/>
      <c r="J180" s="202"/>
      <c r="K180" s="71"/>
      <c r="L180" s="71"/>
      <c r="M180" s="71"/>
      <c r="N180" s="71"/>
      <c r="O180" s="71"/>
      <c r="P180" s="191"/>
      <c r="Q180" s="78"/>
      <c r="R180" s="194"/>
    </row>
    <row r="181" spans="2:19" x14ac:dyDescent="0.2">
      <c r="B181" s="76"/>
      <c r="C181" s="191"/>
      <c r="D181" s="850" t="s">
        <v>627</v>
      </c>
      <c r="E181" s="535"/>
      <c r="F181" s="71">
        <v>1</v>
      </c>
      <c r="G181" s="71"/>
      <c r="H181" s="191"/>
      <c r="I181" s="152">
        <v>0</v>
      </c>
      <c r="J181" s="152">
        <v>0</v>
      </c>
      <c r="K181" s="152">
        <f t="shared" ref="K181:M184" si="84">+J181</f>
        <v>0</v>
      </c>
      <c r="L181" s="152">
        <f t="shared" si="84"/>
        <v>0</v>
      </c>
      <c r="M181" s="152">
        <f t="shared" si="84"/>
        <v>0</v>
      </c>
      <c r="N181" s="152">
        <f>+M181</f>
        <v>0</v>
      </c>
      <c r="O181" s="152">
        <f t="shared" ref="O181:O184" si="85">+N181</f>
        <v>0</v>
      </c>
      <c r="P181" s="191"/>
      <c r="Q181" s="78"/>
      <c r="R181" s="194"/>
    </row>
    <row r="182" spans="2:19" x14ac:dyDescent="0.2">
      <c r="B182" s="76"/>
      <c r="C182" s="191"/>
      <c r="D182" s="191"/>
      <c r="E182" s="191"/>
      <c r="F182" s="71">
        <v>2</v>
      </c>
      <c r="G182" s="71"/>
      <c r="H182" s="191"/>
      <c r="I182" s="152">
        <v>0</v>
      </c>
      <c r="J182" s="152">
        <v>0</v>
      </c>
      <c r="K182" s="152">
        <f t="shared" si="84"/>
        <v>0</v>
      </c>
      <c r="L182" s="152">
        <f t="shared" si="84"/>
        <v>0</v>
      </c>
      <c r="M182" s="152">
        <f t="shared" si="84"/>
        <v>0</v>
      </c>
      <c r="N182" s="152">
        <f>+M182</f>
        <v>0</v>
      </c>
      <c r="O182" s="152">
        <f t="shared" si="85"/>
        <v>0</v>
      </c>
      <c r="P182" s="191"/>
      <c r="Q182" s="78"/>
      <c r="R182" s="194"/>
    </row>
    <row r="183" spans="2:19" x14ac:dyDescent="0.2">
      <c r="B183" s="76"/>
      <c r="C183" s="191"/>
      <c r="D183" s="191"/>
      <c r="E183" s="191"/>
      <c r="F183" s="71">
        <v>3</v>
      </c>
      <c r="G183" s="71"/>
      <c r="H183" s="191"/>
      <c r="I183" s="152">
        <v>0</v>
      </c>
      <c r="J183" s="152">
        <v>0</v>
      </c>
      <c r="K183" s="152">
        <f t="shared" si="84"/>
        <v>0</v>
      </c>
      <c r="L183" s="152">
        <f t="shared" si="84"/>
        <v>0</v>
      </c>
      <c r="M183" s="152">
        <f t="shared" si="84"/>
        <v>0</v>
      </c>
      <c r="N183" s="152">
        <f>+M183</f>
        <v>0</v>
      </c>
      <c r="O183" s="152">
        <f t="shared" si="85"/>
        <v>0</v>
      </c>
      <c r="P183" s="191"/>
      <c r="Q183" s="78"/>
      <c r="R183" s="194"/>
    </row>
    <row r="184" spans="2:19" hidden="1" x14ac:dyDescent="0.2">
      <c r="B184" s="76"/>
      <c r="C184" s="191"/>
      <c r="D184" s="493" t="s">
        <v>392</v>
      </c>
      <c r="E184" s="493"/>
      <c r="F184" s="71"/>
      <c r="G184" s="71"/>
      <c r="H184" s="191"/>
      <c r="I184" s="592">
        <f>tab!$D$78</f>
        <v>41.12</v>
      </c>
      <c r="J184" s="592">
        <f>tab!$D$78</f>
        <v>41.12</v>
      </c>
      <c r="K184" s="592">
        <f t="shared" si="84"/>
        <v>41.12</v>
      </c>
      <c r="L184" s="592">
        <f t="shared" si="84"/>
        <v>41.12</v>
      </c>
      <c r="M184" s="592">
        <f t="shared" si="84"/>
        <v>41.12</v>
      </c>
      <c r="N184" s="592">
        <f>+M184</f>
        <v>41.12</v>
      </c>
      <c r="O184" s="592">
        <f t="shared" si="85"/>
        <v>41.12</v>
      </c>
      <c r="P184" s="191"/>
      <c r="Q184" s="78"/>
      <c r="R184" s="194"/>
    </row>
    <row r="185" spans="2:19" x14ac:dyDescent="0.2">
      <c r="B185" s="76"/>
      <c r="C185" s="191"/>
      <c r="D185" s="191"/>
      <c r="E185" s="191"/>
      <c r="F185" s="71"/>
      <c r="G185" s="71"/>
      <c r="H185" s="191"/>
      <c r="I185" s="202"/>
      <c r="J185" s="202"/>
      <c r="K185" s="71"/>
      <c r="L185" s="71"/>
      <c r="M185" s="71"/>
      <c r="N185" s="71"/>
      <c r="O185" s="71"/>
      <c r="P185" s="191"/>
      <c r="Q185" s="78"/>
      <c r="R185" s="194"/>
    </row>
    <row r="186" spans="2:19" x14ac:dyDescent="0.2">
      <c r="B186" s="76"/>
      <c r="C186" s="191"/>
      <c r="D186" s="850" t="s">
        <v>628</v>
      </c>
      <c r="E186" s="535"/>
      <c r="F186" s="71">
        <v>1</v>
      </c>
      <c r="G186" s="71"/>
      <c r="H186" s="191"/>
      <c r="I186" s="152">
        <v>0</v>
      </c>
      <c r="J186" s="152">
        <v>0</v>
      </c>
      <c r="K186" s="152">
        <f t="shared" ref="K186:M189" si="86">+J186</f>
        <v>0</v>
      </c>
      <c r="L186" s="152">
        <f t="shared" si="86"/>
        <v>0</v>
      </c>
      <c r="M186" s="152">
        <f t="shared" si="86"/>
        <v>0</v>
      </c>
      <c r="N186" s="152">
        <f>+M186</f>
        <v>0</v>
      </c>
      <c r="O186" s="152">
        <f t="shared" ref="O186:O189" si="87">+N186</f>
        <v>0</v>
      </c>
      <c r="P186" s="191"/>
      <c r="Q186" s="78"/>
      <c r="R186" s="194"/>
      <c r="S186" s="171"/>
    </row>
    <row r="187" spans="2:19" x14ac:dyDescent="0.2">
      <c r="B187" s="76"/>
      <c r="C187" s="191"/>
      <c r="D187" s="191"/>
      <c r="E187" s="191"/>
      <c r="F187" s="71">
        <v>2</v>
      </c>
      <c r="G187" s="71"/>
      <c r="H187" s="191"/>
      <c r="I187" s="152">
        <v>0</v>
      </c>
      <c r="J187" s="152">
        <v>0</v>
      </c>
      <c r="K187" s="152">
        <f t="shared" si="86"/>
        <v>0</v>
      </c>
      <c r="L187" s="152">
        <f t="shared" si="86"/>
        <v>0</v>
      </c>
      <c r="M187" s="152">
        <f t="shared" si="86"/>
        <v>0</v>
      </c>
      <c r="N187" s="152">
        <f>+M187</f>
        <v>0</v>
      </c>
      <c r="O187" s="152">
        <f t="shared" si="87"/>
        <v>0</v>
      </c>
      <c r="P187" s="191"/>
      <c r="Q187" s="78"/>
      <c r="R187" s="194"/>
    </row>
    <row r="188" spans="2:19" x14ac:dyDescent="0.2">
      <c r="B188" s="76"/>
      <c r="C188" s="191"/>
      <c r="D188" s="191"/>
      <c r="E188" s="191"/>
      <c r="F188" s="71">
        <v>3</v>
      </c>
      <c r="G188" s="71"/>
      <c r="H188" s="191"/>
      <c r="I188" s="152">
        <v>0</v>
      </c>
      <c r="J188" s="152">
        <v>0</v>
      </c>
      <c r="K188" s="152">
        <f t="shared" si="86"/>
        <v>0</v>
      </c>
      <c r="L188" s="152">
        <f t="shared" si="86"/>
        <v>0</v>
      </c>
      <c r="M188" s="152">
        <f t="shared" si="86"/>
        <v>0</v>
      </c>
      <c r="N188" s="152">
        <f>+M188</f>
        <v>0</v>
      </c>
      <c r="O188" s="152">
        <f t="shared" si="87"/>
        <v>0</v>
      </c>
      <c r="P188" s="191"/>
      <c r="Q188" s="78"/>
      <c r="R188" s="644"/>
    </row>
    <row r="189" spans="2:19" hidden="1" x14ac:dyDescent="0.2">
      <c r="B189" s="76"/>
      <c r="C189" s="191"/>
      <c r="D189" s="493" t="s">
        <v>392</v>
      </c>
      <c r="E189" s="493"/>
      <c r="F189" s="71"/>
      <c r="G189" s="71"/>
      <c r="H189" s="191"/>
      <c r="I189" s="592">
        <f>tab!$D$78</f>
        <v>41.12</v>
      </c>
      <c r="J189" s="592">
        <f>tab!$D$78</f>
        <v>41.12</v>
      </c>
      <c r="K189" s="592">
        <f t="shared" si="86"/>
        <v>41.12</v>
      </c>
      <c r="L189" s="592">
        <f t="shared" si="86"/>
        <v>41.12</v>
      </c>
      <c r="M189" s="592">
        <f t="shared" si="86"/>
        <v>41.12</v>
      </c>
      <c r="N189" s="592">
        <f>+M189</f>
        <v>41.12</v>
      </c>
      <c r="O189" s="592">
        <f t="shared" si="87"/>
        <v>41.12</v>
      </c>
      <c r="P189" s="191"/>
      <c r="Q189" s="78"/>
      <c r="R189" s="644"/>
    </row>
    <row r="190" spans="2:19" x14ac:dyDescent="0.2">
      <c r="B190" s="76"/>
      <c r="C190" s="191"/>
      <c r="D190" s="191"/>
      <c r="E190" s="191"/>
      <c r="F190" s="71"/>
      <c r="G190" s="71"/>
      <c r="H190" s="191"/>
      <c r="I190" s="202"/>
      <c r="J190" s="202"/>
      <c r="K190" s="71"/>
      <c r="L190" s="71"/>
      <c r="M190" s="71"/>
      <c r="N190" s="71"/>
      <c r="O190" s="71"/>
      <c r="P190" s="191"/>
      <c r="Q190" s="78"/>
      <c r="R190" s="644"/>
    </row>
    <row r="191" spans="2:19" x14ac:dyDescent="0.2">
      <c r="B191" s="76"/>
      <c r="C191" s="191"/>
      <c r="D191" s="850" t="s">
        <v>629</v>
      </c>
      <c r="E191" s="535"/>
      <c r="F191" s="71">
        <v>1</v>
      </c>
      <c r="G191" s="71"/>
      <c r="H191" s="191"/>
      <c r="I191" s="152">
        <v>0</v>
      </c>
      <c r="J191" s="152">
        <v>0</v>
      </c>
      <c r="K191" s="152">
        <f t="shared" ref="K191:M194" si="88">+J191</f>
        <v>0</v>
      </c>
      <c r="L191" s="152">
        <f t="shared" si="88"/>
        <v>0</v>
      </c>
      <c r="M191" s="152">
        <f t="shared" si="88"/>
        <v>0</v>
      </c>
      <c r="N191" s="152">
        <f>+M191</f>
        <v>0</v>
      </c>
      <c r="O191" s="152">
        <f t="shared" ref="O191:O194" si="89">+N191</f>
        <v>0</v>
      </c>
      <c r="P191" s="191"/>
      <c r="Q191" s="78"/>
      <c r="R191" s="644"/>
    </row>
    <row r="192" spans="2:19" x14ac:dyDescent="0.2">
      <c r="B192" s="76"/>
      <c r="C192" s="191"/>
      <c r="D192" s="191"/>
      <c r="E192" s="191"/>
      <c r="F192" s="71">
        <v>2</v>
      </c>
      <c r="G192" s="71"/>
      <c r="H192" s="191"/>
      <c r="I192" s="152">
        <v>0</v>
      </c>
      <c r="J192" s="152">
        <v>0</v>
      </c>
      <c r="K192" s="152">
        <f t="shared" si="88"/>
        <v>0</v>
      </c>
      <c r="L192" s="152">
        <f t="shared" si="88"/>
        <v>0</v>
      </c>
      <c r="M192" s="152">
        <f t="shared" si="88"/>
        <v>0</v>
      </c>
      <c r="N192" s="152">
        <f>+M192</f>
        <v>0</v>
      </c>
      <c r="O192" s="152">
        <f t="shared" si="89"/>
        <v>0</v>
      </c>
      <c r="P192" s="191"/>
      <c r="Q192" s="78"/>
      <c r="R192" s="644"/>
    </row>
    <row r="193" spans="2:18" x14ac:dyDescent="0.2">
      <c r="B193" s="76"/>
      <c r="C193" s="191"/>
      <c r="D193" s="191"/>
      <c r="E193" s="191"/>
      <c r="F193" s="71">
        <v>3</v>
      </c>
      <c r="G193" s="71"/>
      <c r="H193" s="191"/>
      <c r="I193" s="152">
        <v>0</v>
      </c>
      <c r="J193" s="152">
        <v>0</v>
      </c>
      <c r="K193" s="152">
        <f t="shared" si="88"/>
        <v>0</v>
      </c>
      <c r="L193" s="152">
        <f t="shared" si="88"/>
        <v>0</v>
      </c>
      <c r="M193" s="152">
        <f t="shared" si="88"/>
        <v>0</v>
      </c>
      <c r="N193" s="152">
        <f>+M193</f>
        <v>0</v>
      </c>
      <c r="O193" s="152">
        <f t="shared" si="89"/>
        <v>0</v>
      </c>
      <c r="P193" s="191"/>
      <c r="Q193" s="78"/>
      <c r="R193" s="644"/>
    </row>
    <row r="194" spans="2:18" hidden="1" x14ac:dyDescent="0.2">
      <c r="B194" s="76"/>
      <c r="C194" s="191"/>
      <c r="D194" s="493" t="s">
        <v>392</v>
      </c>
      <c r="E194" s="493"/>
      <c r="F194" s="71"/>
      <c r="G194" s="71"/>
      <c r="H194" s="191"/>
      <c r="I194" s="592">
        <f>tab!$D$78</f>
        <v>41.12</v>
      </c>
      <c r="J194" s="592">
        <f>tab!$D$78</f>
        <v>41.12</v>
      </c>
      <c r="K194" s="592">
        <f t="shared" si="88"/>
        <v>41.12</v>
      </c>
      <c r="L194" s="592">
        <f t="shared" si="88"/>
        <v>41.12</v>
      </c>
      <c r="M194" s="592">
        <f t="shared" si="88"/>
        <v>41.12</v>
      </c>
      <c r="N194" s="592">
        <f>+M194</f>
        <v>41.12</v>
      </c>
      <c r="O194" s="592">
        <f t="shared" si="89"/>
        <v>41.12</v>
      </c>
      <c r="P194" s="191"/>
      <c r="Q194" s="78"/>
      <c r="R194" s="644"/>
    </row>
    <row r="195" spans="2:18" x14ac:dyDescent="0.2">
      <c r="B195" s="76"/>
      <c r="C195" s="191"/>
      <c r="D195" s="191"/>
      <c r="E195" s="191"/>
      <c r="F195" s="71"/>
      <c r="G195" s="71"/>
      <c r="H195" s="191"/>
      <c r="I195" s="202"/>
      <c r="J195" s="202"/>
      <c r="K195" s="71"/>
      <c r="L195" s="71"/>
      <c r="M195" s="71"/>
      <c r="N195" s="71"/>
      <c r="O195" s="71"/>
      <c r="P195" s="191"/>
      <c r="Q195" s="78"/>
      <c r="R195" s="644"/>
    </row>
    <row r="196" spans="2:18" x14ac:dyDescent="0.2">
      <c r="B196" s="76"/>
      <c r="C196" s="191"/>
      <c r="D196" s="850" t="s">
        <v>630</v>
      </c>
      <c r="E196" s="535"/>
      <c r="F196" s="71">
        <v>1</v>
      </c>
      <c r="G196" s="71"/>
      <c r="H196" s="191"/>
      <c r="I196" s="152">
        <v>0</v>
      </c>
      <c r="J196" s="152">
        <v>0</v>
      </c>
      <c r="K196" s="152">
        <f t="shared" ref="K196:M199" si="90">+J196</f>
        <v>0</v>
      </c>
      <c r="L196" s="152">
        <f t="shared" si="90"/>
        <v>0</v>
      </c>
      <c r="M196" s="152">
        <f t="shared" si="90"/>
        <v>0</v>
      </c>
      <c r="N196" s="152">
        <f>+M196</f>
        <v>0</v>
      </c>
      <c r="O196" s="152">
        <f t="shared" ref="O196:O199" si="91">+N196</f>
        <v>0</v>
      </c>
      <c r="P196" s="191"/>
      <c r="Q196" s="78"/>
      <c r="R196" s="644"/>
    </row>
    <row r="197" spans="2:18" x14ac:dyDescent="0.2">
      <c r="B197" s="76"/>
      <c r="C197" s="191"/>
      <c r="D197" s="191"/>
      <c r="E197" s="191"/>
      <c r="F197" s="71">
        <v>2</v>
      </c>
      <c r="G197" s="71"/>
      <c r="H197" s="191"/>
      <c r="I197" s="152">
        <v>0</v>
      </c>
      <c r="J197" s="152">
        <v>0</v>
      </c>
      <c r="K197" s="152">
        <f t="shared" si="90"/>
        <v>0</v>
      </c>
      <c r="L197" s="152">
        <f t="shared" si="90"/>
        <v>0</v>
      </c>
      <c r="M197" s="152">
        <f t="shared" si="90"/>
        <v>0</v>
      </c>
      <c r="N197" s="152">
        <f>+M197</f>
        <v>0</v>
      </c>
      <c r="O197" s="152">
        <f t="shared" si="91"/>
        <v>0</v>
      </c>
      <c r="P197" s="191"/>
      <c r="Q197" s="78"/>
      <c r="R197" s="644"/>
    </row>
    <row r="198" spans="2:18" x14ac:dyDescent="0.2">
      <c r="B198" s="76"/>
      <c r="C198" s="191"/>
      <c r="D198" s="191"/>
      <c r="E198" s="191"/>
      <c r="F198" s="71">
        <v>3</v>
      </c>
      <c r="G198" s="71"/>
      <c r="H198" s="191"/>
      <c r="I198" s="152">
        <v>0</v>
      </c>
      <c r="J198" s="152">
        <v>0</v>
      </c>
      <c r="K198" s="152">
        <f t="shared" si="90"/>
        <v>0</v>
      </c>
      <c r="L198" s="152">
        <f t="shared" si="90"/>
        <v>0</v>
      </c>
      <c r="M198" s="152">
        <f t="shared" si="90"/>
        <v>0</v>
      </c>
      <c r="N198" s="152">
        <f>+M198</f>
        <v>0</v>
      </c>
      <c r="O198" s="152">
        <f t="shared" si="91"/>
        <v>0</v>
      </c>
      <c r="P198" s="191"/>
      <c r="Q198" s="78"/>
      <c r="R198" s="644"/>
    </row>
    <row r="199" spans="2:18" hidden="1" x14ac:dyDescent="0.2">
      <c r="B199" s="76"/>
      <c r="C199" s="191"/>
      <c r="D199" s="493" t="s">
        <v>392</v>
      </c>
      <c r="E199" s="493"/>
      <c r="F199" s="71"/>
      <c r="G199" s="71"/>
      <c r="H199" s="191"/>
      <c r="I199" s="592">
        <f>tab!$D$78</f>
        <v>41.12</v>
      </c>
      <c r="J199" s="592">
        <f>tab!$D$78</f>
        <v>41.12</v>
      </c>
      <c r="K199" s="592">
        <f t="shared" si="90"/>
        <v>41.12</v>
      </c>
      <c r="L199" s="592">
        <f t="shared" si="90"/>
        <v>41.12</v>
      </c>
      <c r="M199" s="592">
        <f t="shared" si="90"/>
        <v>41.12</v>
      </c>
      <c r="N199" s="592">
        <f>+M199</f>
        <v>41.12</v>
      </c>
      <c r="O199" s="592">
        <f t="shared" si="91"/>
        <v>41.12</v>
      </c>
      <c r="P199" s="191"/>
      <c r="Q199" s="78"/>
      <c r="R199" s="644"/>
    </row>
    <row r="200" spans="2:18" x14ac:dyDescent="0.2">
      <c r="B200" s="76"/>
      <c r="C200" s="669"/>
      <c r="D200" s="950"/>
      <c r="E200" s="516"/>
      <c r="F200" s="71"/>
      <c r="G200" s="71"/>
      <c r="H200" s="191"/>
      <c r="I200" s="202"/>
      <c r="J200" s="202"/>
      <c r="K200" s="71"/>
      <c r="L200" s="71"/>
      <c r="M200" s="71"/>
      <c r="N200" s="71"/>
      <c r="O200" s="71"/>
      <c r="P200" s="191"/>
      <c r="Q200" s="78"/>
      <c r="R200" s="644"/>
    </row>
    <row r="201" spans="2:18" x14ac:dyDescent="0.2">
      <c r="B201" s="76"/>
      <c r="C201" s="191"/>
      <c r="D201" s="850" t="s">
        <v>631</v>
      </c>
      <c r="E201" s="535"/>
      <c r="F201" s="71">
        <v>1</v>
      </c>
      <c r="G201" s="71"/>
      <c r="H201" s="191"/>
      <c r="I201" s="152">
        <v>0</v>
      </c>
      <c r="J201" s="152">
        <v>0</v>
      </c>
      <c r="K201" s="152">
        <f t="shared" ref="K201:M204" si="92">+J201</f>
        <v>0</v>
      </c>
      <c r="L201" s="152">
        <f t="shared" si="92"/>
        <v>0</v>
      </c>
      <c r="M201" s="152">
        <f t="shared" si="92"/>
        <v>0</v>
      </c>
      <c r="N201" s="152">
        <f>+M201</f>
        <v>0</v>
      </c>
      <c r="O201" s="152">
        <f t="shared" ref="O201:O204" si="93">+N201</f>
        <v>0</v>
      </c>
      <c r="P201" s="191"/>
      <c r="Q201" s="78"/>
      <c r="R201" s="644"/>
    </row>
    <row r="202" spans="2:18" x14ac:dyDescent="0.2">
      <c r="B202" s="76"/>
      <c r="C202" s="669"/>
      <c r="D202" s="951"/>
      <c r="E202" s="516"/>
      <c r="F202" s="71">
        <v>2</v>
      </c>
      <c r="G202" s="71"/>
      <c r="H202" s="191"/>
      <c r="I202" s="152">
        <v>0</v>
      </c>
      <c r="J202" s="152">
        <v>0</v>
      </c>
      <c r="K202" s="152">
        <f t="shared" si="92"/>
        <v>0</v>
      </c>
      <c r="L202" s="152">
        <f t="shared" si="92"/>
        <v>0</v>
      </c>
      <c r="M202" s="152">
        <f t="shared" si="92"/>
        <v>0</v>
      </c>
      <c r="N202" s="152">
        <f>+M202</f>
        <v>0</v>
      </c>
      <c r="O202" s="152">
        <f t="shared" si="93"/>
        <v>0</v>
      </c>
      <c r="P202" s="191"/>
      <c r="Q202" s="78"/>
      <c r="R202" s="644"/>
    </row>
    <row r="203" spans="2:18" x14ac:dyDescent="0.2">
      <c r="B203" s="76"/>
      <c r="C203" s="191"/>
      <c r="D203" s="191"/>
      <c r="E203" s="191"/>
      <c r="F203" s="71">
        <v>3</v>
      </c>
      <c r="G203" s="71"/>
      <c r="H203" s="191"/>
      <c r="I203" s="152">
        <v>0</v>
      </c>
      <c r="J203" s="152">
        <v>0</v>
      </c>
      <c r="K203" s="152">
        <f t="shared" si="92"/>
        <v>0</v>
      </c>
      <c r="L203" s="152">
        <f t="shared" si="92"/>
        <v>0</v>
      </c>
      <c r="M203" s="152">
        <f t="shared" si="92"/>
        <v>0</v>
      </c>
      <c r="N203" s="152">
        <f>+M203</f>
        <v>0</v>
      </c>
      <c r="O203" s="152">
        <f t="shared" si="93"/>
        <v>0</v>
      </c>
      <c r="P203" s="191"/>
      <c r="Q203" s="78"/>
      <c r="R203" s="644"/>
    </row>
    <row r="204" spans="2:18" hidden="1" x14ac:dyDescent="0.2">
      <c r="B204" s="76"/>
      <c r="C204" s="191"/>
      <c r="D204" s="493" t="s">
        <v>392</v>
      </c>
      <c r="E204" s="493"/>
      <c r="F204" s="71"/>
      <c r="G204" s="71"/>
      <c r="H204" s="191"/>
      <c r="I204" s="592">
        <f>tab!$D$78</f>
        <v>41.12</v>
      </c>
      <c r="J204" s="592">
        <f>tab!$D$78</f>
        <v>41.12</v>
      </c>
      <c r="K204" s="592">
        <f t="shared" si="92"/>
        <v>41.12</v>
      </c>
      <c r="L204" s="592">
        <f t="shared" si="92"/>
        <v>41.12</v>
      </c>
      <c r="M204" s="592">
        <f t="shared" si="92"/>
        <v>41.12</v>
      </c>
      <c r="N204" s="592">
        <f>+M204</f>
        <v>41.12</v>
      </c>
      <c r="O204" s="592">
        <f t="shared" si="93"/>
        <v>41.12</v>
      </c>
      <c r="P204" s="191"/>
      <c r="Q204" s="78"/>
      <c r="R204" s="644"/>
    </row>
    <row r="205" spans="2:18" x14ac:dyDescent="0.2">
      <c r="B205" s="76"/>
      <c r="C205" s="191"/>
      <c r="D205" s="191"/>
      <c r="E205" s="191"/>
      <c r="F205" s="71"/>
      <c r="G205" s="71"/>
      <c r="H205" s="191"/>
      <c r="I205" s="202"/>
      <c r="J205" s="202"/>
      <c r="K205" s="71"/>
      <c r="L205" s="71"/>
      <c r="M205" s="71"/>
      <c r="N205" s="71"/>
      <c r="O205" s="71"/>
      <c r="P205" s="191"/>
      <c r="Q205" s="78"/>
      <c r="R205" s="644"/>
    </row>
    <row r="206" spans="2:18" x14ac:dyDescent="0.2">
      <c r="B206" s="76"/>
      <c r="C206" s="191"/>
      <c r="D206" s="850" t="s">
        <v>632</v>
      </c>
      <c r="E206" s="535"/>
      <c r="F206" s="71">
        <v>1</v>
      </c>
      <c r="G206" s="71"/>
      <c r="H206" s="191"/>
      <c r="I206" s="152">
        <v>0</v>
      </c>
      <c r="J206" s="152">
        <v>0</v>
      </c>
      <c r="K206" s="152">
        <f t="shared" ref="K206:M209" si="94">+J206</f>
        <v>0</v>
      </c>
      <c r="L206" s="152">
        <f t="shared" si="94"/>
        <v>0</v>
      </c>
      <c r="M206" s="152">
        <f t="shared" si="94"/>
        <v>0</v>
      </c>
      <c r="N206" s="152">
        <f>+M206</f>
        <v>0</v>
      </c>
      <c r="O206" s="152">
        <f t="shared" ref="O206:O209" si="95">+N206</f>
        <v>0</v>
      </c>
      <c r="P206" s="191"/>
      <c r="Q206" s="78"/>
      <c r="R206" s="644"/>
    </row>
    <row r="207" spans="2:18" x14ac:dyDescent="0.2">
      <c r="B207" s="76"/>
      <c r="C207" s="191"/>
      <c r="D207" s="191"/>
      <c r="E207" s="191"/>
      <c r="F207" s="71">
        <v>2</v>
      </c>
      <c r="G207" s="71"/>
      <c r="H207" s="191"/>
      <c r="I207" s="152">
        <v>0</v>
      </c>
      <c r="J207" s="152">
        <v>0</v>
      </c>
      <c r="K207" s="152">
        <f t="shared" si="94"/>
        <v>0</v>
      </c>
      <c r="L207" s="152">
        <f t="shared" si="94"/>
        <v>0</v>
      </c>
      <c r="M207" s="152">
        <f t="shared" si="94"/>
        <v>0</v>
      </c>
      <c r="N207" s="152">
        <f>+M207</f>
        <v>0</v>
      </c>
      <c r="O207" s="152">
        <f t="shared" si="95"/>
        <v>0</v>
      </c>
      <c r="P207" s="191"/>
      <c r="Q207" s="78"/>
      <c r="R207" s="644"/>
    </row>
    <row r="208" spans="2:18" x14ac:dyDescent="0.2">
      <c r="B208" s="76"/>
      <c r="C208" s="191"/>
      <c r="D208" s="191"/>
      <c r="E208" s="191"/>
      <c r="F208" s="71">
        <v>3</v>
      </c>
      <c r="G208" s="71"/>
      <c r="H208" s="191"/>
      <c r="I208" s="152">
        <v>0</v>
      </c>
      <c r="J208" s="152">
        <v>0</v>
      </c>
      <c r="K208" s="152">
        <f t="shared" si="94"/>
        <v>0</v>
      </c>
      <c r="L208" s="152">
        <f t="shared" si="94"/>
        <v>0</v>
      </c>
      <c r="M208" s="152">
        <f t="shared" si="94"/>
        <v>0</v>
      </c>
      <c r="N208" s="152">
        <f>+M208</f>
        <v>0</v>
      </c>
      <c r="O208" s="152">
        <f t="shared" si="95"/>
        <v>0</v>
      </c>
      <c r="P208" s="191"/>
      <c r="Q208" s="78"/>
      <c r="R208" s="644"/>
    </row>
    <row r="209" spans="2:19" hidden="1" x14ac:dyDescent="0.2">
      <c r="B209" s="76"/>
      <c r="C209" s="191"/>
      <c r="D209" s="493" t="s">
        <v>392</v>
      </c>
      <c r="E209" s="493"/>
      <c r="F209" s="71"/>
      <c r="G209" s="71"/>
      <c r="H209" s="191"/>
      <c r="I209" s="592">
        <f>tab!$D$78</f>
        <v>41.12</v>
      </c>
      <c r="J209" s="592">
        <f>tab!$D$78</f>
        <v>41.12</v>
      </c>
      <c r="K209" s="592">
        <f t="shared" si="94"/>
        <v>41.12</v>
      </c>
      <c r="L209" s="592">
        <f t="shared" si="94"/>
        <v>41.12</v>
      </c>
      <c r="M209" s="592">
        <f t="shared" si="94"/>
        <v>41.12</v>
      </c>
      <c r="N209" s="592">
        <f>+M209</f>
        <v>41.12</v>
      </c>
      <c r="O209" s="592">
        <f t="shared" si="95"/>
        <v>41.12</v>
      </c>
      <c r="P209" s="191"/>
      <c r="Q209" s="78"/>
      <c r="R209" s="644"/>
    </row>
    <row r="210" spans="2:19" x14ac:dyDescent="0.2">
      <c r="B210" s="76"/>
      <c r="C210" s="191"/>
      <c r="D210" s="191"/>
      <c r="E210" s="191"/>
      <c r="F210" s="71"/>
      <c r="G210" s="71"/>
      <c r="H210" s="191"/>
      <c r="I210" s="202"/>
      <c r="J210" s="202"/>
      <c r="K210" s="71"/>
      <c r="L210" s="71"/>
      <c r="M210" s="71"/>
      <c r="N210" s="71"/>
      <c r="O210" s="71"/>
      <c r="P210" s="191"/>
      <c r="Q210" s="78"/>
      <c r="R210" s="644"/>
    </row>
    <row r="211" spans="2:19" x14ac:dyDescent="0.2">
      <c r="B211" s="76"/>
      <c r="C211" s="191"/>
      <c r="D211" s="850" t="s">
        <v>633</v>
      </c>
      <c r="E211" s="535"/>
      <c r="F211" s="71">
        <v>1</v>
      </c>
      <c r="G211" s="71"/>
      <c r="H211" s="191"/>
      <c r="I211" s="152">
        <v>0</v>
      </c>
      <c r="J211" s="152">
        <v>0</v>
      </c>
      <c r="K211" s="152">
        <f t="shared" ref="K211:M214" si="96">+J211</f>
        <v>0</v>
      </c>
      <c r="L211" s="152">
        <f t="shared" si="96"/>
        <v>0</v>
      </c>
      <c r="M211" s="152">
        <f t="shared" si="96"/>
        <v>0</v>
      </c>
      <c r="N211" s="152">
        <f>+M211</f>
        <v>0</v>
      </c>
      <c r="O211" s="152">
        <f t="shared" ref="O211:O214" si="97">+N211</f>
        <v>0</v>
      </c>
      <c r="P211" s="191"/>
      <c r="Q211" s="78"/>
      <c r="R211" s="644"/>
    </row>
    <row r="212" spans="2:19" x14ac:dyDescent="0.2">
      <c r="B212" s="76"/>
      <c r="C212" s="191"/>
      <c r="D212" s="191"/>
      <c r="E212" s="191"/>
      <c r="F212" s="71">
        <v>2</v>
      </c>
      <c r="G212" s="71"/>
      <c r="H212" s="191"/>
      <c r="I212" s="152">
        <v>0</v>
      </c>
      <c r="J212" s="152">
        <v>0</v>
      </c>
      <c r="K212" s="152">
        <f t="shared" si="96"/>
        <v>0</v>
      </c>
      <c r="L212" s="152">
        <f t="shared" si="96"/>
        <v>0</v>
      </c>
      <c r="M212" s="152">
        <f t="shared" si="96"/>
        <v>0</v>
      </c>
      <c r="N212" s="152">
        <f>+M212</f>
        <v>0</v>
      </c>
      <c r="O212" s="152">
        <f t="shared" si="97"/>
        <v>0</v>
      </c>
      <c r="P212" s="191"/>
      <c r="Q212" s="78"/>
      <c r="R212" s="644"/>
    </row>
    <row r="213" spans="2:19" x14ac:dyDescent="0.2">
      <c r="B213" s="76"/>
      <c r="C213" s="191"/>
      <c r="D213" s="191"/>
      <c r="E213" s="191"/>
      <c r="F213" s="71">
        <v>3</v>
      </c>
      <c r="G213" s="71"/>
      <c r="H213" s="191"/>
      <c r="I213" s="152">
        <v>0</v>
      </c>
      <c r="J213" s="152">
        <v>0</v>
      </c>
      <c r="K213" s="152">
        <f t="shared" si="96"/>
        <v>0</v>
      </c>
      <c r="L213" s="152">
        <f t="shared" si="96"/>
        <v>0</v>
      </c>
      <c r="M213" s="152">
        <f>+L213</f>
        <v>0</v>
      </c>
      <c r="N213" s="152">
        <f>+M213</f>
        <v>0</v>
      </c>
      <c r="O213" s="152">
        <f t="shared" si="97"/>
        <v>0</v>
      </c>
      <c r="P213" s="191"/>
      <c r="Q213" s="78"/>
      <c r="R213" s="644"/>
    </row>
    <row r="214" spans="2:19" hidden="1" x14ac:dyDescent="0.2">
      <c r="B214" s="76"/>
      <c r="C214" s="191"/>
      <c r="D214" s="493" t="s">
        <v>392</v>
      </c>
      <c r="E214" s="493"/>
      <c r="F214" s="71"/>
      <c r="G214" s="71"/>
      <c r="H214" s="191"/>
      <c r="I214" s="592">
        <f>tab!$D$78</f>
        <v>41.12</v>
      </c>
      <c r="J214" s="592">
        <f>tab!$D$78</f>
        <v>41.12</v>
      </c>
      <c r="K214" s="592">
        <f t="shared" si="96"/>
        <v>41.12</v>
      </c>
      <c r="L214" s="592">
        <f t="shared" si="96"/>
        <v>41.12</v>
      </c>
      <c r="M214" s="592">
        <f>+L214</f>
        <v>41.12</v>
      </c>
      <c r="N214" s="592">
        <f>+M214</f>
        <v>41.12</v>
      </c>
      <c r="O214" s="592">
        <f t="shared" si="97"/>
        <v>41.12</v>
      </c>
      <c r="P214" s="191"/>
      <c r="Q214" s="78"/>
      <c r="R214" s="644"/>
    </row>
    <row r="215" spans="2:19" x14ac:dyDescent="0.2">
      <c r="B215" s="76"/>
      <c r="C215" s="191"/>
      <c r="D215" s="191"/>
      <c r="E215" s="191"/>
      <c r="F215" s="71"/>
      <c r="G215" s="71"/>
      <c r="H215" s="191"/>
      <c r="I215" s="71"/>
      <c r="J215" s="71"/>
      <c r="K215" s="71"/>
      <c r="L215" s="71"/>
      <c r="M215" s="71"/>
      <c r="N215" s="71"/>
      <c r="O215" s="71"/>
      <c r="P215" s="191"/>
      <c r="Q215" s="78"/>
      <c r="R215" s="644"/>
    </row>
    <row r="216" spans="2:19" x14ac:dyDescent="0.2">
      <c r="B216" s="76"/>
      <c r="C216" s="191"/>
      <c r="D216" s="850" t="s">
        <v>634</v>
      </c>
      <c r="E216" s="535"/>
      <c r="F216" s="71">
        <v>1</v>
      </c>
      <c r="G216" s="71"/>
      <c r="H216" s="191"/>
      <c r="I216" s="152">
        <v>0</v>
      </c>
      <c r="J216" s="152">
        <v>0</v>
      </c>
      <c r="K216" s="152">
        <f t="shared" ref="K216:O218" si="98">+J216</f>
        <v>0</v>
      </c>
      <c r="L216" s="152">
        <f t="shared" si="98"/>
        <v>0</v>
      </c>
      <c r="M216" s="152">
        <f t="shared" si="98"/>
        <v>0</v>
      </c>
      <c r="N216" s="152">
        <f>+M216</f>
        <v>0</v>
      </c>
      <c r="O216" s="152">
        <f t="shared" si="98"/>
        <v>0</v>
      </c>
      <c r="P216" s="191"/>
      <c r="Q216" s="78"/>
      <c r="R216" s="644"/>
    </row>
    <row r="217" spans="2:19" x14ac:dyDescent="0.2">
      <c r="B217" s="76"/>
      <c r="C217" s="191"/>
      <c r="D217" s="191"/>
      <c r="E217" s="191"/>
      <c r="F217" s="71">
        <v>2</v>
      </c>
      <c r="G217" s="71"/>
      <c r="H217" s="191"/>
      <c r="I217" s="152">
        <v>0</v>
      </c>
      <c r="J217" s="152">
        <v>0</v>
      </c>
      <c r="K217" s="152">
        <f t="shared" si="98"/>
        <v>0</v>
      </c>
      <c r="L217" s="152">
        <f t="shared" si="98"/>
        <v>0</v>
      </c>
      <c r="M217" s="152">
        <f t="shared" si="98"/>
        <v>0</v>
      </c>
      <c r="N217" s="152">
        <f>+M217</f>
        <v>0</v>
      </c>
      <c r="O217" s="152">
        <f t="shared" si="98"/>
        <v>0</v>
      </c>
      <c r="P217" s="191"/>
      <c r="Q217" s="78"/>
      <c r="R217" s="644"/>
    </row>
    <row r="218" spans="2:19" x14ac:dyDescent="0.2">
      <c r="B218" s="76"/>
      <c r="C218" s="191"/>
      <c r="D218" s="191"/>
      <c r="E218" s="191"/>
      <c r="F218" s="71">
        <v>3</v>
      </c>
      <c r="G218" s="71"/>
      <c r="H218" s="191"/>
      <c r="I218" s="152">
        <v>0</v>
      </c>
      <c r="J218" s="152">
        <v>0</v>
      </c>
      <c r="K218" s="152">
        <f t="shared" si="98"/>
        <v>0</v>
      </c>
      <c r="L218" s="152">
        <f t="shared" si="98"/>
        <v>0</v>
      </c>
      <c r="M218" s="152">
        <f t="shared" si="98"/>
        <v>0</v>
      </c>
      <c r="N218" s="152">
        <f>+M218</f>
        <v>0</v>
      </c>
      <c r="O218" s="152">
        <f t="shared" si="98"/>
        <v>0</v>
      </c>
      <c r="P218" s="191"/>
      <c r="Q218" s="78"/>
      <c r="R218" s="644"/>
    </row>
    <row r="219" spans="2:19" hidden="1" x14ac:dyDescent="0.2">
      <c r="B219" s="76"/>
      <c r="C219" s="191"/>
      <c r="D219" s="493" t="s">
        <v>392</v>
      </c>
      <c r="E219" s="493"/>
      <c r="F219" s="71"/>
      <c r="G219" s="71"/>
      <c r="H219" s="191"/>
      <c r="I219" s="592">
        <f>tab!$D$78</f>
        <v>41.12</v>
      </c>
      <c r="J219" s="592">
        <f>tab!$D$78</f>
        <v>41.12</v>
      </c>
      <c r="K219" s="592">
        <f>+J219</f>
        <v>41.12</v>
      </c>
      <c r="L219" s="592">
        <f>+K219</f>
        <v>41.12</v>
      </c>
      <c r="M219" s="592">
        <f>+L219</f>
        <v>41.12</v>
      </c>
      <c r="N219" s="592">
        <f>+M219</f>
        <v>41.12</v>
      </c>
      <c r="O219" s="592">
        <f>+N219</f>
        <v>41.12</v>
      </c>
      <c r="P219" s="191"/>
      <c r="Q219" s="78"/>
      <c r="R219" s="644"/>
    </row>
    <row r="220" spans="2:19" x14ac:dyDescent="0.2">
      <c r="B220" s="76"/>
      <c r="C220" s="191"/>
      <c r="D220" s="191"/>
      <c r="E220" s="191"/>
      <c r="F220" s="71"/>
      <c r="G220" s="71"/>
      <c r="H220" s="191"/>
      <c r="I220" s="71"/>
      <c r="J220" s="71"/>
      <c r="K220" s="71"/>
      <c r="L220" s="71"/>
      <c r="M220" s="71"/>
      <c r="N220" s="71"/>
      <c r="O220" s="71"/>
      <c r="P220" s="191"/>
      <c r="Q220" s="78"/>
      <c r="R220" s="644"/>
    </row>
    <row r="221" spans="2:19" x14ac:dyDescent="0.2">
      <c r="B221" s="76"/>
      <c r="C221" s="191"/>
      <c r="D221" s="850" t="s">
        <v>635</v>
      </c>
      <c r="E221" s="535"/>
      <c r="F221" s="71">
        <v>1</v>
      </c>
      <c r="G221" s="71"/>
      <c r="H221" s="191"/>
      <c r="I221" s="152">
        <v>0</v>
      </c>
      <c r="J221" s="152">
        <v>0</v>
      </c>
      <c r="K221" s="152">
        <f t="shared" ref="K221:O223" si="99">+J221</f>
        <v>0</v>
      </c>
      <c r="L221" s="152">
        <f t="shared" si="99"/>
        <v>0</v>
      </c>
      <c r="M221" s="152">
        <f t="shared" si="99"/>
        <v>0</v>
      </c>
      <c r="N221" s="152">
        <f>+M221</f>
        <v>0</v>
      </c>
      <c r="O221" s="152">
        <f t="shared" si="99"/>
        <v>0</v>
      </c>
      <c r="P221" s="191"/>
      <c r="Q221" s="78"/>
      <c r="R221" s="644"/>
    </row>
    <row r="222" spans="2:19" x14ac:dyDescent="0.2">
      <c r="B222" s="76"/>
      <c r="C222" s="191"/>
      <c r="D222" s="191"/>
      <c r="E222" s="191"/>
      <c r="F222" s="71">
        <v>2</v>
      </c>
      <c r="G222" s="71"/>
      <c r="H222" s="191"/>
      <c r="I222" s="152">
        <v>0</v>
      </c>
      <c r="J222" s="152">
        <v>0</v>
      </c>
      <c r="K222" s="152">
        <f t="shared" si="99"/>
        <v>0</v>
      </c>
      <c r="L222" s="152">
        <f t="shared" si="99"/>
        <v>0</v>
      </c>
      <c r="M222" s="152">
        <f t="shared" si="99"/>
        <v>0</v>
      </c>
      <c r="N222" s="152">
        <f>+M222</f>
        <v>0</v>
      </c>
      <c r="O222" s="152">
        <f t="shared" si="99"/>
        <v>0</v>
      </c>
      <c r="P222" s="191"/>
      <c r="Q222" s="78"/>
      <c r="R222" s="644"/>
      <c r="S222" s="848"/>
    </row>
    <row r="223" spans="2:19" x14ac:dyDescent="0.2">
      <c r="B223" s="76"/>
      <c r="C223" s="191"/>
      <c r="D223" s="191"/>
      <c r="E223" s="191"/>
      <c r="F223" s="71">
        <v>3</v>
      </c>
      <c r="G223" s="71"/>
      <c r="H223" s="191"/>
      <c r="I223" s="152">
        <v>0</v>
      </c>
      <c r="J223" s="152">
        <v>0</v>
      </c>
      <c r="K223" s="152">
        <f t="shared" si="99"/>
        <v>0</v>
      </c>
      <c r="L223" s="152">
        <f t="shared" si="99"/>
        <v>0</v>
      </c>
      <c r="M223" s="152">
        <f t="shared" si="99"/>
        <v>0</v>
      </c>
      <c r="N223" s="152">
        <f>+M223</f>
        <v>0</v>
      </c>
      <c r="O223" s="152">
        <f t="shared" si="99"/>
        <v>0</v>
      </c>
      <c r="P223" s="191"/>
      <c r="Q223" s="78"/>
      <c r="R223" s="644"/>
      <c r="S223" s="848"/>
    </row>
    <row r="224" spans="2:19" hidden="1" x14ac:dyDescent="0.2">
      <c r="B224" s="76"/>
      <c r="C224" s="191"/>
      <c r="D224" s="493" t="s">
        <v>392</v>
      </c>
      <c r="E224" s="493"/>
      <c r="F224" s="71"/>
      <c r="G224" s="71"/>
      <c r="H224" s="191"/>
      <c r="I224" s="592">
        <f>tab!$D$78</f>
        <v>41.12</v>
      </c>
      <c r="J224" s="592">
        <f>tab!$D$78</f>
        <v>41.12</v>
      </c>
      <c r="K224" s="592">
        <f>+J224</f>
        <v>41.12</v>
      </c>
      <c r="L224" s="592">
        <f>+K224</f>
        <v>41.12</v>
      </c>
      <c r="M224" s="592">
        <f>+L224</f>
        <v>41.12</v>
      </c>
      <c r="N224" s="592">
        <f>+M224</f>
        <v>41.12</v>
      </c>
      <c r="O224" s="592">
        <f>+N224</f>
        <v>41.12</v>
      </c>
      <c r="P224" s="191"/>
      <c r="Q224" s="78"/>
      <c r="R224" s="644"/>
      <c r="S224" s="848"/>
    </row>
    <row r="225" spans="2:19" x14ac:dyDescent="0.2">
      <c r="B225" s="76"/>
      <c r="C225" s="191"/>
      <c r="D225" s="191"/>
      <c r="E225" s="191"/>
      <c r="F225" s="71"/>
      <c r="G225" s="71"/>
      <c r="H225" s="191"/>
      <c r="I225" s="71"/>
      <c r="J225" s="71"/>
      <c r="K225" s="71"/>
      <c r="L225" s="71"/>
      <c r="M225" s="71"/>
      <c r="N225" s="71"/>
      <c r="O225" s="71"/>
      <c r="P225" s="191"/>
      <c r="Q225" s="78"/>
      <c r="R225" s="644"/>
      <c r="S225" s="848"/>
    </row>
    <row r="226" spans="2:19" x14ac:dyDescent="0.2">
      <c r="B226" s="76"/>
      <c r="C226" s="191"/>
      <c r="D226" s="850" t="s">
        <v>636</v>
      </c>
      <c r="E226" s="535"/>
      <c r="F226" s="71">
        <v>1</v>
      </c>
      <c r="G226" s="71"/>
      <c r="H226" s="191"/>
      <c r="I226" s="152">
        <v>0</v>
      </c>
      <c r="J226" s="152">
        <v>0</v>
      </c>
      <c r="K226" s="152">
        <f t="shared" ref="K226:O228" si="100">+J226</f>
        <v>0</v>
      </c>
      <c r="L226" s="152">
        <f t="shared" si="100"/>
        <v>0</v>
      </c>
      <c r="M226" s="152">
        <f t="shared" si="100"/>
        <v>0</v>
      </c>
      <c r="N226" s="152">
        <f>+M226</f>
        <v>0</v>
      </c>
      <c r="O226" s="152">
        <f t="shared" si="100"/>
        <v>0</v>
      </c>
      <c r="P226" s="191"/>
      <c r="Q226" s="78"/>
      <c r="R226" s="644"/>
      <c r="S226" s="848"/>
    </row>
    <row r="227" spans="2:19" x14ac:dyDescent="0.2">
      <c r="B227" s="76"/>
      <c r="C227" s="191"/>
      <c r="D227" s="191"/>
      <c r="E227" s="191"/>
      <c r="F227" s="71">
        <v>2</v>
      </c>
      <c r="G227" s="71"/>
      <c r="H227" s="191"/>
      <c r="I227" s="152">
        <v>0</v>
      </c>
      <c r="J227" s="152">
        <v>0</v>
      </c>
      <c r="K227" s="152">
        <f t="shared" si="100"/>
        <v>0</v>
      </c>
      <c r="L227" s="152">
        <f t="shared" si="100"/>
        <v>0</v>
      </c>
      <c r="M227" s="152">
        <f t="shared" si="100"/>
        <v>0</v>
      </c>
      <c r="N227" s="152">
        <f>+M227</f>
        <v>0</v>
      </c>
      <c r="O227" s="152">
        <f t="shared" si="100"/>
        <v>0</v>
      </c>
      <c r="P227" s="191"/>
      <c r="Q227" s="78"/>
      <c r="R227" s="644"/>
      <c r="S227" s="848"/>
    </row>
    <row r="228" spans="2:19" x14ac:dyDescent="0.2">
      <c r="B228" s="76"/>
      <c r="C228" s="191"/>
      <c r="D228" s="191"/>
      <c r="E228" s="191"/>
      <c r="F228" s="71">
        <v>3</v>
      </c>
      <c r="G228" s="71"/>
      <c r="H228" s="191"/>
      <c r="I228" s="152">
        <v>0</v>
      </c>
      <c r="J228" s="152">
        <v>0</v>
      </c>
      <c r="K228" s="152">
        <f t="shared" si="100"/>
        <v>0</v>
      </c>
      <c r="L228" s="152">
        <f t="shared" si="100"/>
        <v>0</v>
      </c>
      <c r="M228" s="152">
        <f t="shared" si="100"/>
        <v>0</v>
      </c>
      <c r="N228" s="152">
        <f>+M228</f>
        <v>0</v>
      </c>
      <c r="O228" s="152">
        <f t="shared" si="100"/>
        <v>0</v>
      </c>
      <c r="P228" s="191"/>
      <c r="Q228" s="78"/>
      <c r="R228" s="644"/>
    </row>
    <row r="229" spans="2:19" hidden="1" x14ac:dyDescent="0.2">
      <c r="B229" s="76"/>
      <c r="C229" s="191"/>
      <c r="D229" s="493" t="s">
        <v>392</v>
      </c>
      <c r="E229" s="493"/>
      <c r="F229" s="71"/>
      <c r="G229" s="71"/>
      <c r="H229" s="191"/>
      <c r="I229" s="592">
        <f>tab!$D$78</f>
        <v>41.12</v>
      </c>
      <c r="J229" s="592">
        <f>tab!$D$78</f>
        <v>41.12</v>
      </c>
      <c r="K229" s="592">
        <f>+J229</f>
        <v>41.12</v>
      </c>
      <c r="L229" s="592">
        <f>+K229</f>
        <v>41.12</v>
      </c>
      <c r="M229" s="592">
        <f>+L229</f>
        <v>41.12</v>
      </c>
      <c r="N229" s="592">
        <f>+M229</f>
        <v>41.12</v>
      </c>
      <c r="O229" s="592">
        <f>+N229</f>
        <v>41.12</v>
      </c>
      <c r="P229" s="191"/>
      <c r="Q229" s="78"/>
      <c r="R229" s="644"/>
    </row>
    <row r="230" spans="2:19" x14ac:dyDescent="0.2">
      <c r="B230" s="76"/>
      <c r="C230" s="191"/>
      <c r="D230" s="191"/>
      <c r="E230" s="191"/>
      <c r="F230" s="71"/>
      <c r="G230" s="71"/>
      <c r="H230" s="191"/>
      <c r="I230" s="71"/>
      <c r="J230" s="71"/>
      <c r="K230" s="71"/>
      <c r="L230" s="71"/>
      <c r="M230" s="71"/>
      <c r="N230" s="71"/>
      <c r="O230" s="71"/>
      <c r="P230" s="191"/>
      <c r="Q230" s="78"/>
      <c r="R230" s="644"/>
    </row>
    <row r="231" spans="2:19" x14ac:dyDescent="0.2">
      <c r="B231" s="76"/>
      <c r="C231" s="191"/>
      <c r="D231" s="850" t="s">
        <v>637</v>
      </c>
      <c r="E231" s="535"/>
      <c r="F231" s="71">
        <v>1</v>
      </c>
      <c r="G231" s="71"/>
      <c r="H231" s="191"/>
      <c r="I231" s="152">
        <v>0</v>
      </c>
      <c r="J231" s="152">
        <v>0</v>
      </c>
      <c r="K231" s="152">
        <f t="shared" ref="K231:O233" si="101">+J231</f>
        <v>0</v>
      </c>
      <c r="L231" s="152">
        <f t="shared" si="101"/>
        <v>0</v>
      </c>
      <c r="M231" s="152">
        <f t="shared" si="101"/>
        <v>0</v>
      </c>
      <c r="N231" s="152">
        <f>+M231</f>
        <v>0</v>
      </c>
      <c r="O231" s="152">
        <f t="shared" si="101"/>
        <v>0</v>
      </c>
      <c r="P231" s="191"/>
      <c r="Q231" s="78"/>
      <c r="R231" s="644"/>
    </row>
    <row r="232" spans="2:19" x14ac:dyDescent="0.2">
      <c r="B232" s="76"/>
      <c r="C232" s="191"/>
      <c r="D232" s="191"/>
      <c r="E232" s="191"/>
      <c r="F232" s="71">
        <v>2</v>
      </c>
      <c r="G232" s="71"/>
      <c r="H232" s="191"/>
      <c r="I232" s="152">
        <v>0</v>
      </c>
      <c r="J232" s="152">
        <v>0</v>
      </c>
      <c r="K232" s="152">
        <f t="shared" si="101"/>
        <v>0</v>
      </c>
      <c r="L232" s="152">
        <f t="shared" si="101"/>
        <v>0</v>
      </c>
      <c r="M232" s="152">
        <f t="shared" si="101"/>
        <v>0</v>
      </c>
      <c r="N232" s="152">
        <f>+M232</f>
        <v>0</v>
      </c>
      <c r="O232" s="152">
        <f t="shared" si="101"/>
        <v>0</v>
      </c>
      <c r="P232" s="191"/>
      <c r="Q232" s="78"/>
      <c r="R232" s="644"/>
    </row>
    <row r="233" spans="2:19" x14ac:dyDescent="0.2">
      <c r="B233" s="76"/>
      <c r="C233" s="191"/>
      <c r="D233" s="191"/>
      <c r="E233" s="191"/>
      <c r="F233" s="71">
        <v>3</v>
      </c>
      <c r="G233" s="71"/>
      <c r="H233" s="191"/>
      <c r="I233" s="152">
        <v>0</v>
      </c>
      <c r="J233" s="152">
        <v>0</v>
      </c>
      <c r="K233" s="152">
        <f t="shared" si="101"/>
        <v>0</v>
      </c>
      <c r="L233" s="152">
        <f t="shared" si="101"/>
        <v>0</v>
      </c>
      <c r="M233" s="152">
        <f t="shared" si="101"/>
        <v>0</v>
      </c>
      <c r="N233" s="152">
        <f>+M233</f>
        <v>0</v>
      </c>
      <c r="O233" s="152">
        <f t="shared" si="101"/>
        <v>0</v>
      </c>
      <c r="P233" s="191"/>
      <c r="Q233" s="78"/>
      <c r="R233" s="194"/>
    </row>
    <row r="234" spans="2:19" hidden="1" x14ac:dyDescent="0.2">
      <c r="B234" s="76"/>
      <c r="C234" s="191"/>
      <c r="D234" s="493" t="s">
        <v>392</v>
      </c>
      <c r="E234" s="493"/>
      <c r="F234" s="71"/>
      <c r="G234" s="71"/>
      <c r="H234" s="191"/>
      <c r="I234" s="592">
        <f>tab!$D$78</f>
        <v>41.12</v>
      </c>
      <c r="J234" s="592">
        <f>tab!$D$78</f>
        <v>41.12</v>
      </c>
      <c r="K234" s="592">
        <f>+J234</f>
        <v>41.12</v>
      </c>
      <c r="L234" s="592">
        <f>+K234</f>
        <v>41.12</v>
      </c>
      <c r="M234" s="592">
        <f>+L234</f>
        <v>41.12</v>
      </c>
      <c r="N234" s="592">
        <f>+M234</f>
        <v>41.12</v>
      </c>
      <c r="O234" s="592">
        <f>+N234</f>
        <v>41.12</v>
      </c>
      <c r="P234" s="191"/>
      <c r="Q234" s="78"/>
      <c r="R234" s="194"/>
    </row>
    <row r="235" spans="2:19" x14ac:dyDescent="0.2">
      <c r="B235" s="76"/>
      <c r="C235" s="191"/>
      <c r="D235" s="191"/>
      <c r="E235" s="191"/>
      <c r="F235" s="71"/>
      <c r="G235" s="71"/>
      <c r="H235" s="191"/>
      <c r="I235" s="71"/>
      <c r="J235" s="71"/>
      <c r="K235" s="71"/>
      <c r="L235" s="71"/>
      <c r="M235" s="71"/>
      <c r="N235" s="71"/>
      <c r="O235" s="71"/>
      <c r="P235" s="191"/>
      <c r="Q235" s="78"/>
      <c r="R235" s="194"/>
    </row>
    <row r="236" spans="2:19" x14ac:dyDescent="0.2">
      <c r="B236" s="76"/>
      <c r="C236" s="191"/>
      <c r="D236" s="850" t="s">
        <v>638</v>
      </c>
      <c r="E236" s="535"/>
      <c r="F236" s="71">
        <v>1</v>
      </c>
      <c r="G236" s="71"/>
      <c r="H236" s="191"/>
      <c r="I236" s="152">
        <v>0</v>
      </c>
      <c r="J236" s="152">
        <v>0</v>
      </c>
      <c r="K236" s="152">
        <f t="shared" ref="K236:O238" si="102">+J236</f>
        <v>0</v>
      </c>
      <c r="L236" s="152">
        <f t="shared" si="102"/>
        <v>0</v>
      </c>
      <c r="M236" s="152">
        <f t="shared" si="102"/>
        <v>0</v>
      </c>
      <c r="N236" s="152">
        <f>+M236</f>
        <v>0</v>
      </c>
      <c r="O236" s="152">
        <f t="shared" si="102"/>
        <v>0</v>
      </c>
      <c r="P236" s="191"/>
      <c r="Q236" s="78"/>
      <c r="R236" s="194"/>
    </row>
    <row r="237" spans="2:19" x14ac:dyDescent="0.2">
      <c r="B237" s="76"/>
      <c r="C237" s="191"/>
      <c r="D237" s="191"/>
      <c r="E237" s="191"/>
      <c r="F237" s="71">
        <v>2</v>
      </c>
      <c r="G237" s="71"/>
      <c r="H237" s="191"/>
      <c r="I237" s="152">
        <v>0</v>
      </c>
      <c r="J237" s="152">
        <v>0</v>
      </c>
      <c r="K237" s="152">
        <f t="shared" si="102"/>
        <v>0</v>
      </c>
      <c r="L237" s="152">
        <f t="shared" si="102"/>
        <v>0</v>
      </c>
      <c r="M237" s="152">
        <f t="shared" si="102"/>
        <v>0</v>
      </c>
      <c r="N237" s="152">
        <f>+M237</f>
        <v>0</v>
      </c>
      <c r="O237" s="152">
        <f t="shared" si="102"/>
        <v>0</v>
      </c>
      <c r="P237" s="191"/>
      <c r="Q237" s="78"/>
      <c r="R237" s="194"/>
    </row>
    <row r="238" spans="2:19" x14ac:dyDescent="0.2">
      <c r="B238" s="76"/>
      <c r="C238" s="191"/>
      <c r="D238" s="191"/>
      <c r="E238" s="191"/>
      <c r="F238" s="71">
        <v>3</v>
      </c>
      <c r="G238" s="71"/>
      <c r="H238" s="191"/>
      <c r="I238" s="152">
        <v>0</v>
      </c>
      <c r="J238" s="152">
        <v>0</v>
      </c>
      <c r="K238" s="152">
        <f t="shared" si="102"/>
        <v>0</v>
      </c>
      <c r="L238" s="152">
        <f t="shared" si="102"/>
        <v>0</v>
      </c>
      <c r="M238" s="152">
        <f t="shared" si="102"/>
        <v>0</v>
      </c>
      <c r="N238" s="152">
        <f>+M238</f>
        <v>0</v>
      </c>
      <c r="O238" s="152">
        <f t="shared" si="102"/>
        <v>0</v>
      </c>
      <c r="P238" s="191"/>
      <c r="Q238" s="78"/>
      <c r="R238" s="194"/>
    </row>
    <row r="239" spans="2:19" hidden="1" x14ac:dyDescent="0.2">
      <c r="B239" s="76"/>
      <c r="C239" s="191"/>
      <c r="D239" s="493" t="s">
        <v>392</v>
      </c>
      <c r="E239" s="493"/>
      <c r="F239" s="71"/>
      <c r="G239" s="71"/>
      <c r="H239" s="191"/>
      <c r="I239" s="592">
        <f>tab!$D$78</f>
        <v>41.12</v>
      </c>
      <c r="J239" s="592">
        <f>tab!$F$78</f>
        <v>41.48</v>
      </c>
      <c r="K239" s="592">
        <f>+J239</f>
        <v>41.48</v>
      </c>
      <c r="L239" s="592">
        <f>+K239</f>
        <v>41.48</v>
      </c>
      <c r="M239" s="592">
        <f>+L239</f>
        <v>41.48</v>
      </c>
      <c r="N239" s="592">
        <f>+M239</f>
        <v>41.48</v>
      </c>
      <c r="O239" s="592">
        <f>+N239</f>
        <v>41.48</v>
      </c>
      <c r="P239" s="191"/>
      <c r="Q239" s="78"/>
      <c r="R239" s="194"/>
    </row>
    <row r="240" spans="2:19" x14ac:dyDescent="0.2">
      <c r="B240" s="76"/>
      <c r="C240" s="191"/>
      <c r="D240" s="191"/>
      <c r="E240" s="191"/>
      <c r="F240" s="71"/>
      <c r="G240" s="71"/>
      <c r="H240" s="191"/>
      <c r="I240" s="71"/>
      <c r="J240" s="71"/>
      <c r="K240" s="71"/>
      <c r="L240" s="71"/>
      <c r="M240" s="71"/>
      <c r="N240" s="71"/>
      <c r="O240" s="71"/>
      <c r="P240" s="191"/>
      <c r="Q240" s="78"/>
      <c r="R240" s="194"/>
    </row>
    <row r="241" spans="2:57" x14ac:dyDescent="0.2">
      <c r="B241" s="80"/>
      <c r="C241" s="199"/>
      <c r="D241" s="199"/>
      <c r="E241" s="199"/>
      <c r="F241" s="201"/>
      <c r="G241" s="201"/>
      <c r="H241" s="199"/>
      <c r="I241" s="926">
        <f t="shared" ref="I241:O241" si="103">SUM(I66:I239)-(I69+I74+I79+I84+I89+I94+I99+I104+I109+I114+I119+I124+I129+I134+I139+I144+I149+I154+I159+I164+I169+I174+I179+I184+I189+I194+I199+I204+I209+I214+I219+I224+I229+I234+I239)</f>
        <v>0</v>
      </c>
      <c r="J241" s="926">
        <f t="shared" si="103"/>
        <v>0</v>
      </c>
      <c r="K241" s="926">
        <f t="shared" si="103"/>
        <v>0</v>
      </c>
      <c r="L241" s="926">
        <f t="shared" si="103"/>
        <v>0</v>
      </c>
      <c r="M241" s="926">
        <f t="shared" si="103"/>
        <v>0</v>
      </c>
      <c r="N241" s="926">
        <f t="shared" si="103"/>
        <v>0</v>
      </c>
      <c r="O241" s="926">
        <f t="shared" si="103"/>
        <v>0</v>
      </c>
      <c r="P241" s="199"/>
      <c r="Q241" s="91"/>
      <c r="R241" s="194"/>
    </row>
    <row r="242" spans="2:57" x14ac:dyDescent="0.2">
      <c r="B242" s="76"/>
      <c r="C242" s="82"/>
      <c r="D242" s="82"/>
      <c r="E242" s="82"/>
      <c r="F242" s="69"/>
      <c r="G242" s="69"/>
      <c r="H242" s="82"/>
      <c r="I242" s="69"/>
      <c r="J242" s="69"/>
      <c r="K242" s="69"/>
      <c r="L242" s="69"/>
      <c r="M242" s="69"/>
      <c r="N242" s="69"/>
      <c r="O242" s="69"/>
      <c r="P242" s="82"/>
      <c r="Q242" s="78"/>
      <c r="R242" s="194"/>
    </row>
    <row r="243" spans="2:57" x14ac:dyDescent="0.2">
      <c r="B243" s="86"/>
      <c r="C243" s="733"/>
      <c r="D243" s="733"/>
      <c r="E243" s="733"/>
      <c r="F243" s="734"/>
      <c r="G243" s="734"/>
      <c r="H243" s="733"/>
      <c r="I243" s="734"/>
      <c r="J243" s="734"/>
      <c r="K243" s="734"/>
      <c r="L243" s="734"/>
      <c r="M243" s="734"/>
      <c r="N243" s="734"/>
      <c r="O243" s="734"/>
      <c r="P243" s="734"/>
      <c r="Q243" s="734"/>
      <c r="R243" s="734"/>
      <c r="S243" s="733"/>
      <c r="T243" s="85"/>
    </row>
    <row r="244" spans="2:57" ht="12" customHeight="1" x14ac:dyDescent="0.2">
      <c r="BE244" s="196"/>
    </row>
    <row r="245" spans="2:57" ht="12" customHeight="1" x14ac:dyDescent="0.2"/>
    <row r="246" spans="2:57" ht="12" customHeight="1" x14ac:dyDescent="0.2"/>
    <row r="247" spans="2:57" ht="12" customHeight="1" x14ac:dyDescent="0.2"/>
    <row r="248" spans="2:57" ht="12" customHeight="1" x14ac:dyDescent="0.2"/>
    <row r="249" spans="2:57" ht="12" customHeight="1" x14ac:dyDescent="0.2"/>
    <row r="250" spans="2:57" ht="12" customHeight="1" x14ac:dyDescent="0.2"/>
    <row r="251" spans="2:57" ht="12" customHeight="1" x14ac:dyDescent="0.2"/>
    <row r="252" spans="2:57" ht="12" customHeight="1" x14ac:dyDescent="0.2"/>
    <row r="253" spans="2:57" ht="12" customHeight="1" x14ac:dyDescent="0.2"/>
    <row r="254" spans="2:57" ht="12" customHeight="1" x14ac:dyDescent="0.2"/>
    <row r="255" spans="2:57" ht="12" customHeight="1" x14ac:dyDescent="0.2"/>
    <row r="256" spans="2:57" ht="12" customHeight="1" x14ac:dyDescent="0.2">
      <c r="B256" s="196"/>
      <c r="C256" s="196"/>
      <c r="D256" s="196"/>
      <c r="E256" s="196"/>
      <c r="F256" s="197"/>
      <c r="G256" s="197"/>
      <c r="H256" s="196"/>
      <c r="I256" s="196"/>
      <c r="J256" s="196"/>
      <c r="K256" s="196"/>
      <c r="L256" s="196"/>
      <c r="M256" s="196"/>
      <c r="N256" s="196"/>
      <c r="O256" s="196"/>
      <c r="P256" s="196"/>
      <c r="Q256" s="196"/>
      <c r="R256" s="196"/>
      <c r="S256" s="196"/>
      <c r="T256" s="196"/>
      <c r="U256" s="171"/>
    </row>
    <row r="257" spans="2:39" ht="12" customHeight="1" x14ac:dyDescent="0.2"/>
    <row r="258" spans="2:39" ht="12" customHeight="1" x14ac:dyDescent="0.2"/>
    <row r="259" spans="2:39" ht="12" customHeight="1" x14ac:dyDescent="0.2"/>
    <row r="260" spans="2:39" ht="12" customHeight="1" x14ac:dyDescent="0.2"/>
    <row r="261" spans="2:39" ht="12" customHeight="1" x14ac:dyDescent="0.2">
      <c r="B261" s="196"/>
      <c r="C261" s="196"/>
      <c r="D261" s="196"/>
      <c r="E261" s="196"/>
      <c r="F261" s="197"/>
      <c r="G261" s="197"/>
      <c r="H261" s="196"/>
      <c r="I261" s="196"/>
      <c r="J261" s="196"/>
      <c r="K261" s="196"/>
      <c r="L261" s="196"/>
      <c r="M261" s="196"/>
      <c r="N261" s="196"/>
      <c r="O261" s="196"/>
      <c r="P261" s="196"/>
      <c r="Q261" s="196"/>
      <c r="R261" s="196"/>
      <c r="S261" s="196"/>
      <c r="T261" s="196"/>
    </row>
    <row r="262" spans="2:39" ht="12" customHeight="1" x14ac:dyDescent="0.2"/>
    <row r="263" spans="2:39" ht="12" customHeight="1" x14ac:dyDescent="0.2"/>
    <row r="264" spans="2:39" ht="12" customHeight="1" x14ac:dyDescent="0.2">
      <c r="AM264" s="196"/>
    </row>
    <row r="265" spans="2:39" ht="12" customHeight="1" x14ac:dyDescent="0.2">
      <c r="U265" s="196"/>
    </row>
    <row r="266" spans="2:39" ht="12" customHeight="1" x14ac:dyDescent="0.2">
      <c r="B266" s="196"/>
      <c r="C266" s="196"/>
      <c r="D266" s="196"/>
      <c r="E266" s="196"/>
      <c r="F266" s="197"/>
      <c r="G266" s="197"/>
      <c r="H266" s="196"/>
      <c r="I266" s="196"/>
      <c r="J266" s="196"/>
      <c r="K266" s="196"/>
      <c r="L266" s="196"/>
      <c r="M266" s="196"/>
      <c r="N266" s="196"/>
      <c r="O266" s="196"/>
      <c r="P266" s="196"/>
      <c r="Q266" s="196"/>
      <c r="R266" s="196"/>
      <c r="S266" s="196"/>
      <c r="T266" s="196"/>
    </row>
    <row r="267" spans="2:39" ht="12" customHeight="1" x14ac:dyDescent="0.2"/>
    <row r="268" spans="2:39" ht="12" customHeight="1" x14ac:dyDescent="0.2"/>
    <row r="269" spans="2:39" ht="12" customHeight="1" x14ac:dyDescent="0.2">
      <c r="AM269" s="196"/>
    </row>
    <row r="270" spans="2:39" ht="12" customHeight="1" x14ac:dyDescent="0.2"/>
    <row r="271" spans="2:39" ht="12" customHeight="1" x14ac:dyDescent="0.2">
      <c r="B271" s="196"/>
      <c r="C271" s="196"/>
      <c r="D271" s="196"/>
      <c r="E271" s="196"/>
      <c r="F271" s="197"/>
      <c r="G271" s="197"/>
      <c r="H271" s="196"/>
      <c r="I271" s="196"/>
      <c r="J271" s="196"/>
      <c r="K271" s="196"/>
      <c r="L271" s="196"/>
      <c r="M271" s="196"/>
      <c r="N271" s="196"/>
      <c r="O271" s="196"/>
      <c r="P271" s="196"/>
      <c r="Q271" s="196"/>
      <c r="R271" s="196"/>
      <c r="S271" s="196"/>
      <c r="T271" s="196"/>
    </row>
    <row r="272" spans="2:39" ht="12" customHeight="1" x14ac:dyDescent="0.2"/>
    <row r="273" spans="2:39" ht="12" customHeight="1" x14ac:dyDescent="0.2"/>
    <row r="274" spans="2:39" ht="12" customHeight="1" x14ac:dyDescent="0.2"/>
    <row r="275" spans="2:39" ht="12" customHeight="1" x14ac:dyDescent="0.2"/>
    <row r="276" spans="2:39" ht="12" customHeight="1" x14ac:dyDescent="0.2">
      <c r="B276" s="196"/>
      <c r="C276" s="196"/>
      <c r="D276" s="196"/>
      <c r="E276" s="196"/>
      <c r="F276" s="197"/>
      <c r="G276" s="197"/>
      <c r="H276" s="196"/>
      <c r="I276" s="196"/>
      <c r="J276" s="196"/>
      <c r="K276" s="196"/>
      <c r="L276" s="196"/>
      <c r="M276" s="196"/>
      <c r="N276" s="196"/>
      <c r="O276" s="196"/>
      <c r="P276" s="196"/>
      <c r="Q276" s="196"/>
      <c r="R276" s="196"/>
      <c r="S276" s="196"/>
      <c r="T276" s="196"/>
    </row>
    <row r="277" spans="2:39" ht="12" customHeight="1" x14ac:dyDescent="0.2"/>
    <row r="278" spans="2:39" ht="12" customHeight="1" x14ac:dyDescent="0.2"/>
    <row r="279" spans="2:39" ht="12" customHeight="1" x14ac:dyDescent="0.2"/>
    <row r="280" spans="2:39" ht="12" customHeight="1" x14ac:dyDescent="0.2"/>
    <row r="281" spans="2:39" ht="12" customHeight="1" x14ac:dyDescent="0.2"/>
    <row r="282" spans="2:39" ht="12" customHeight="1" x14ac:dyDescent="0.2">
      <c r="AM282" s="196"/>
    </row>
    <row r="283" spans="2:39" ht="12" customHeight="1" x14ac:dyDescent="0.2"/>
    <row r="284" spans="2:39" ht="12" customHeight="1" x14ac:dyDescent="0.2"/>
    <row r="285" spans="2:39" ht="12" customHeight="1" x14ac:dyDescent="0.2"/>
    <row r="286" spans="2:39" ht="12" customHeight="1" x14ac:dyDescent="0.2"/>
    <row r="287" spans="2:39" ht="12" customHeight="1" x14ac:dyDescent="0.2"/>
    <row r="288" spans="2:39" ht="12" customHeight="1" x14ac:dyDescent="0.2">
      <c r="AM288" s="196"/>
    </row>
    <row r="289" spans="1:39" ht="12" customHeight="1" x14ac:dyDescent="0.2">
      <c r="B289" s="196"/>
      <c r="C289" s="196"/>
      <c r="D289" s="196"/>
      <c r="E289" s="196"/>
      <c r="F289" s="197"/>
      <c r="G289" s="197"/>
      <c r="H289" s="196"/>
      <c r="I289" s="196"/>
      <c r="J289" s="196"/>
      <c r="K289" s="196"/>
      <c r="L289" s="196"/>
      <c r="M289" s="196"/>
      <c r="N289" s="196"/>
      <c r="O289" s="196"/>
      <c r="P289" s="196"/>
      <c r="Q289" s="196"/>
      <c r="R289" s="196"/>
      <c r="S289" s="196"/>
      <c r="T289" s="196"/>
    </row>
    <row r="290" spans="1:39" ht="12" customHeight="1" x14ac:dyDescent="0.2">
      <c r="V290" s="196"/>
    </row>
    <row r="291" spans="1:39" ht="12" customHeight="1" x14ac:dyDescent="0.2"/>
    <row r="292" spans="1:39" ht="12" customHeight="1" x14ac:dyDescent="0.2">
      <c r="A292" s="171"/>
    </row>
    <row r="293" spans="1:39" ht="12" customHeight="1" x14ac:dyDescent="0.2"/>
    <row r="294" spans="1:39" ht="12" customHeight="1" x14ac:dyDescent="0.2">
      <c r="AM294" s="196"/>
    </row>
    <row r="295" spans="1:39" ht="12" customHeight="1" x14ac:dyDescent="0.2">
      <c r="B295" s="196"/>
      <c r="C295" s="196"/>
      <c r="D295" s="196"/>
      <c r="E295" s="196"/>
      <c r="F295" s="197"/>
      <c r="G295" s="197"/>
      <c r="H295" s="196"/>
      <c r="I295" s="196"/>
      <c r="J295" s="196"/>
      <c r="K295" s="196"/>
      <c r="L295" s="196"/>
      <c r="M295" s="196"/>
      <c r="N295" s="196"/>
      <c r="O295" s="196"/>
      <c r="P295" s="196"/>
      <c r="Q295" s="196"/>
      <c r="R295" s="196"/>
      <c r="S295" s="196"/>
      <c r="T295" s="196"/>
      <c r="V295" s="196"/>
    </row>
    <row r="296" spans="1:39" ht="12" customHeight="1" x14ac:dyDescent="0.2"/>
    <row r="297" spans="1:39" ht="12" customHeight="1" x14ac:dyDescent="0.2"/>
    <row r="298" spans="1:39" ht="12" customHeight="1" x14ac:dyDescent="0.2"/>
    <row r="299" spans="1:39" ht="12" customHeight="1" x14ac:dyDescent="0.2"/>
    <row r="300" spans="1:39" ht="12" customHeight="1" x14ac:dyDescent="0.2">
      <c r="V300" s="196"/>
      <c r="AM300" s="196"/>
    </row>
    <row r="301" spans="1:39" ht="12" customHeight="1" x14ac:dyDescent="0.2">
      <c r="B301" s="196"/>
      <c r="C301" s="196"/>
      <c r="D301" s="196"/>
      <c r="E301" s="196"/>
      <c r="F301" s="197"/>
      <c r="G301" s="197"/>
      <c r="H301" s="196"/>
      <c r="I301" s="196"/>
      <c r="J301" s="196"/>
      <c r="K301" s="196"/>
      <c r="L301" s="196"/>
      <c r="M301" s="196"/>
      <c r="N301" s="196"/>
      <c r="O301" s="196"/>
      <c r="P301" s="196"/>
      <c r="Q301" s="196"/>
      <c r="R301" s="196"/>
      <c r="S301" s="196"/>
      <c r="T301" s="196"/>
    </row>
    <row r="302" spans="1:39" ht="12" customHeight="1" x14ac:dyDescent="0.2"/>
    <row r="303" spans="1:39" ht="12" customHeight="1" x14ac:dyDescent="0.2"/>
    <row r="304" spans="1:39" ht="12" customHeight="1" x14ac:dyDescent="0.2"/>
    <row r="305" spans="2:39" ht="12" customHeight="1" x14ac:dyDescent="0.2">
      <c r="V305" s="196"/>
    </row>
    <row r="306" spans="2:39" ht="12" customHeight="1" x14ac:dyDescent="0.2">
      <c r="AM306" s="196"/>
    </row>
    <row r="307" spans="2:39" ht="12" customHeight="1" x14ac:dyDescent="0.2">
      <c r="B307" s="196"/>
      <c r="C307" s="196"/>
      <c r="D307" s="196"/>
      <c r="E307" s="196"/>
      <c r="F307" s="197"/>
      <c r="G307" s="197"/>
      <c r="H307" s="196"/>
      <c r="I307" s="196"/>
      <c r="J307" s="196"/>
      <c r="K307" s="196"/>
      <c r="L307" s="196"/>
      <c r="M307" s="196"/>
      <c r="N307" s="196"/>
      <c r="O307" s="196"/>
      <c r="P307" s="196"/>
      <c r="Q307" s="196"/>
      <c r="R307" s="196"/>
      <c r="S307" s="196"/>
      <c r="T307" s="196"/>
    </row>
    <row r="308" spans="2:39" ht="12" customHeight="1" x14ac:dyDescent="0.2"/>
    <row r="309" spans="2:39" ht="12" customHeight="1" x14ac:dyDescent="0.2"/>
    <row r="310" spans="2:39" ht="12" customHeight="1" x14ac:dyDescent="0.2">
      <c r="V310" s="196"/>
    </row>
    <row r="311" spans="2:39" ht="12" customHeight="1" x14ac:dyDescent="0.2"/>
    <row r="312" spans="2:39" ht="12" customHeight="1" x14ac:dyDescent="0.2">
      <c r="AM312" s="196"/>
    </row>
    <row r="313" spans="2:39" ht="12" customHeight="1" x14ac:dyDescent="0.2">
      <c r="B313" s="196"/>
      <c r="C313" s="196"/>
      <c r="D313" s="196"/>
      <c r="E313" s="196"/>
      <c r="F313" s="197"/>
      <c r="G313" s="197"/>
      <c r="H313" s="196"/>
      <c r="I313" s="196"/>
      <c r="J313" s="196"/>
      <c r="K313" s="196"/>
      <c r="L313" s="196"/>
      <c r="M313" s="196"/>
      <c r="N313" s="196"/>
      <c r="O313" s="196"/>
      <c r="P313" s="196"/>
      <c r="Q313" s="196"/>
      <c r="R313" s="196"/>
      <c r="S313" s="196"/>
      <c r="T313" s="196"/>
    </row>
    <row r="314" spans="2:39" ht="12" customHeight="1" x14ac:dyDescent="0.2"/>
    <row r="315" spans="2:39" ht="12" customHeight="1" x14ac:dyDescent="0.2"/>
    <row r="316" spans="2:39" ht="12" customHeight="1" x14ac:dyDescent="0.2"/>
    <row r="317" spans="2:39" ht="12" customHeight="1" x14ac:dyDescent="0.2"/>
    <row r="318" spans="2:39" ht="12" customHeight="1" x14ac:dyDescent="0.2"/>
    <row r="319" spans="2:39" ht="12" customHeight="1" x14ac:dyDescent="0.2">
      <c r="B319" s="196"/>
      <c r="C319" s="196"/>
      <c r="D319" s="196"/>
      <c r="E319" s="196"/>
      <c r="F319" s="197"/>
      <c r="G319" s="197"/>
      <c r="H319" s="196"/>
      <c r="I319" s="196"/>
      <c r="J319" s="196"/>
      <c r="K319" s="196"/>
      <c r="L319" s="196"/>
      <c r="M319" s="196"/>
      <c r="N319" s="196"/>
      <c r="O319" s="196"/>
      <c r="P319" s="196"/>
      <c r="Q319" s="196"/>
      <c r="R319" s="196"/>
      <c r="S319" s="196"/>
      <c r="T319" s="196"/>
    </row>
    <row r="320" spans="2:39" ht="12" customHeight="1" x14ac:dyDescent="0.2"/>
    <row r="321" spans="2:39" ht="12" customHeight="1" x14ac:dyDescent="0.2"/>
    <row r="322" spans="2:39" ht="12" customHeight="1" x14ac:dyDescent="0.2"/>
    <row r="323" spans="2:39" ht="12" customHeight="1" x14ac:dyDescent="0.2">
      <c r="V323" s="196"/>
    </row>
    <row r="324" spans="2:39" ht="12" customHeight="1" x14ac:dyDescent="0.2"/>
    <row r="325" spans="2:39" ht="12" customHeight="1" x14ac:dyDescent="0.2">
      <c r="AM325" s="196"/>
    </row>
    <row r="326" spans="2:39" ht="12" customHeight="1" x14ac:dyDescent="0.2"/>
    <row r="327" spans="2:39" ht="12" customHeight="1" x14ac:dyDescent="0.2"/>
    <row r="328" spans="2:39" ht="12" customHeight="1" x14ac:dyDescent="0.2"/>
    <row r="329" spans="2:39" ht="12" customHeight="1" x14ac:dyDescent="0.2">
      <c r="V329" s="196"/>
    </row>
    <row r="330" spans="2:39" ht="12" customHeight="1" x14ac:dyDescent="0.2"/>
    <row r="331" spans="2:39" ht="12" customHeight="1" x14ac:dyDescent="0.2">
      <c r="AM331" s="196"/>
    </row>
    <row r="332" spans="2:39" ht="12" customHeight="1" x14ac:dyDescent="0.2">
      <c r="B332" s="196"/>
      <c r="C332" s="196"/>
      <c r="D332" s="196"/>
      <c r="E332" s="196"/>
      <c r="F332" s="197"/>
      <c r="G332" s="197"/>
      <c r="H332" s="196"/>
      <c r="I332" s="196"/>
      <c r="J332" s="196"/>
      <c r="K332" s="196"/>
      <c r="L332" s="196"/>
      <c r="M332" s="196"/>
      <c r="N332" s="196"/>
      <c r="O332" s="196"/>
      <c r="P332" s="196"/>
      <c r="Q332" s="196"/>
      <c r="R332" s="196"/>
      <c r="S332" s="196"/>
      <c r="T332" s="196"/>
    </row>
    <row r="333" spans="2:39" ht="12" customHeight="1" x14ac:dyDescent="0.2"/>
    <row r="334" spans="2:39" ht="12" customHeight="1" x14ac:dyDescent="0.2"/>
    <row r="335" spans="2:39" ht="12" customHeight="1" x14ac:dyDescent="0.2">
      <c r="V335" s="196"/>
    </row>
    <row r="336" spans="2:39" ht="12" customHeight="1" x14ac:dyDescent="0.2"/>
    <row r="337" spans="1:39" ht="12" customHeight="1" x14ac:dyDescent="0.2">
      <c r="AM337" s="196"/>
    </row>
    <row r="338" spans="1:39" ht="12" customHeight="1" x14ac:dyDescent="0.2">
      <c r="B338" s="196"/>
      <c r="C338" s="196"/>
      <c r="D338" s="196"/>
      <c r="E338" s="196"/>
      <c r="F338" s="197"/>
      <c r="G338" s="197"/>
      <c r="H338" s="196"/>
      <c r="I338" s="196"/>
      <c r="J338" s="196"/>
      <c r="K338" s="196"/>
      <c r="L338" s="196"/>
      <c r="M338" s="196"/>
      <c r="N338" s="196"/>
      <c r="O338" s="196"/>
      <c r="P338" s="196"/>
      <c r="Q338" s="196"/>
      <c r="R338" s="196"/>
      <c r="S338" s="196"/>
      <c r="T338" s="196"/>
    </row>
    <row r="339" spans="1:39" ht="12" customHeight="1" x14ac:dyDescent="0.2"/>
    <row r="340" spans="1:39" ht="12" customHeight="1" x14ac:dyDescent="0.2"/>
    <row r="341" spans="1:39" ht="12" customHeight="1" x14ac:dyDescent="0.2">
      <c r="V341" s="196"/>
    </row>
    <row r="342" spans="1:39" ht="12" customHeight="1" x14ac:dyDescent="0.2"/>
    <row r="343" spans="1:39" ht="12" customHeight="1" x14ac:dyDescent="0.2">
      <c r="AM343" s="196"/>
    </row>
    <row r="344" spans="1:39" ht="12" customHeight="1" x14ac:dyDescent="0.2">
      <c r="A344" s="196"/>
      <c r="B344" s="196"/>
      <c r="C344" s="196"/>
      <c r="D344" s="196"/>
      <c r="E344" s="196"/>
      <c r="F344" s="197"/>
      <c r="G344" s="197"/>
      <c r="H344" s="196"/>
      <c r="I344" s="196"/>
      <c r="J344" s="196"/>
      <c r="K344" s="196"/>
      <c r="L344" s="196"/>
      <c r="M344" s="196"/>
      <c r="N344" s="196"/>
      <c r="O344" s="196"/>
      <c r="P344" s="196"/>
      <c r="Q344" s="196"/>
      <c r="R344" s="196"/>
      <c r="S344" s="196"/>
      <c r="T344" s="196"/>
    </row>
    <row r="345" spans="1:39" ht="12" customHeight="1" x14ac:dyDescent="0.2"/>
    <row r="346" spans="1:39" ht="12" customHeight="1" x14ac:dyDescent="0.2"/>
    <row r="347" spans="1:39" ht="12" customHeight="1" x14ac:dyDescent="0.2">
      <c r="V347" s="196"/>
    </row>
    <row r="348" spans="1:39" ht="12" customHeight="1" x14ac:dyDescent="0.2"/>
    <row r="349" spans="1:39" ht="12" customHeight="1" x14ac:dyDescent="0.2">
      <c r="A349" s="196"/>
      <c r="AM349" s="196"/>
    </row>
    <row r="350" spans="1:39" ht="12" customHeight="1" x14ac:dyDescent="0.2">
      <c r="B350" s="196"/>
      <c r="C350" s="196"/>
      <c r="D350" s="196"/>
      <c r="E350" s="196"/>
      <c r="F350" s="197"/>
      <c r="G350" s="197"/>
      <c r="H350" s="196"/>
      <c r="I350" s="196"/>
      <c r="J350" s="196"/>
      <c r="K350" s="196"/>
      <c r="L350" s="196"/>
      <c r="M350" s="196"/>
      <c r="N350" s="196"/>
      <c r="O350" s="196"/>
      <c r="P350" s="196"/>
      <c r="Q350" s="196"/>
      <c r="R350" s="196"/>
      <c r="S350" s="196"/>
      <c r="T350" s="196"/>
    </row>
    <row r="351" spans="1:39" ht="12" customHeight="1" x14ac:dyDescent="0.2"/>
    <row r="352" spans="1:39" ht="12" customHeight="1" x14ac:dyDescent="0.2"/>
    <row r="353" spans="1:39" ht="12" customHeight="1" x14ac:dyDescent="0.2">
      <c r="V353" s="196"/>
    </row>
    <row r="354" spans="1:39" ht="12" customHeight="1" x14ac:dyDescent="0.2">
      <c r="A354" s="196"/>
    </row>
    <row r="355" spans="1:39" ht="12" customHeight="1" x14ac:dyDescent="0.2">
      <c r="AM355" s="196"/>
    </row>
    <row r="356" spans="1:39" ht="12" customHeight="1" x14ac:dyDescent="0.2">
      <c r="B356" s="196"/>
      <c r="C356" s="196"/>
      <c r="D356" s="196"/>
      <c r="E356" s="196"/>
      <c r="F356" s="197"/>
      <c r="G356" s="197"/>
      <c r="H356" s="196"/>
      <c r="I356" s="196"/>
      <c r="J356" s="196"/>
      <c r="K356" s="196"/>
      <c r="L356" s="196"/>
      <c r="M356" s="196"/>
      <c r="N356" s="196"/>
      <c r="O356" s="196"/>
      <c r="P356" s="196"/>
      <c r="Q356" s="196"/>
      <c r="R356" s="196"/>
      <c r="S356" s="196"/>
      <c r="T356" s="196"/>
    </row>
    <row r="357" spans="1:39" ht="12" customHeight="1" x14ac:dyDescent="0.2"/>
    <row r="358" spans="1:39" ht="12" customHeight="1" x14ac:dyDescent="0.2"/>
    <row r="359" spans="1:39" ht="12" customHeight="1" x14ac:dyDescent="0.2">
      <c r="A359" s="196"/>
    </row>
    <row r="360" spans="1:39" ht="12" customHeight="1" x14ac:dyDescent="0.2"/>
    <row r="362" spans="1:39" x14ac:dyDescent="0.2">
      <c r="B362" s="196"/>
      <c r="C362" s="196"/>
      <c r="D362" s="196"/>
      <c r="E362" s="196"/>
      <c r="F362" s="197"/>
      <c r="G362" s="197"/>
      <c r="H362" s="196"/>
      <c r="I362" s="196"/>
      <c r="J362" s="196"/>
      <c r="K362" s="196"/>
      <c r="L362" s="196"/>
      <c r="M362" s="196"/>
      <c r="N362" s="196"/>
      <c r="O362" s="196"/>
      <c r="P362" s="196"/>
      <c r="Q362" s="196"/>
      <c r="R362" s="196"/>
      <c r="S362" s="196"/>
      <c r="T362" s="196"/>
    </row>
    <row r="364" spans="1:39" x14ac:dyDescent="0.2">
      <c r="A364" s="196"/>
    </row>
    <row r="366" spans="1:39" x14ac:dyDescent="0.2">
      <c r="V366" s="196"/>
    </row>
    <row r="368" spans="1:39" s="171" customFormat="1" x14ac:dyDescent="0.2">
      <c r="A368" s="194"/>
      <c r="B368" s="194"/>
      <c r="C368" s="194"/>
      <c r="D368" s="194"/>
      <c r="E368" s="194"/>
      <c r="F368" s="198"/>
      <c r="G368" s="198"/>
      <c r="H368" s="194"/>
      <c r="I368" s="194"/>
      <c r="J368" s="194"/>
      <c r="K368" s="194"/>
      <c r="L368" s="198"/>
      <c r="M368" s="198"/>
      <c r="N368" s="198"/>
      <c r="O368" s="198"/>
      <c r="P368" s="198"/>
      <c r="Q368" s="198"/>
      <c r="R368" s="198"/>
      <c r="S368" s="194"/>
      <c r="T368" s="194"/>
      <c r="U368" s="194"/>
      <c r="V368" s="194"/>
      <c r="W368" s="194"/>
      <c r="X368" s="194"/>
      <c r="Y368" s="194"/>
      <c r="Z368" s="194"/>
      <c r="AA368" s="194"/>
      <c r="AB368" s="194"/>
      <c r="AC368" s="194"/>
      <c r="AD368" s="194"/>
      <c r="AE368" s="194"/>
      <c r="AF368" s="194"/>
      <c r="AG368" s="194"/>
      <c r="AH368" s="194"/>
      <c r="AI368" s="194"/>
      <c r="AJ368" s="194"/>
      <c r="AK368" s="194"/>
      <c r="AL368" s="194"/>
      <c r="AM368" s="194"/>
    </row>
    <row r="372" spans="1:22" x14ac:dyDescent="0.2">
      <c r="V372" s="196"/>
    </row>
    <row r="377" spans="1:22" x14ac:dyDescent="0.2">
      <c r="A377" s="196"/>
    </row>
    <row r="378" spans="1:22" x14ac:dyDescent="0.2">
      <c r="V378" s="196"/>
    </row>
    <row r="383" spans="1:22" x14ac:dyDescent="0.2">
      <c r="A383" s="196"/>
    </row>
    <row r="384" spans="1:22" x14ac:dyDescent="0.2">
      <c r="V384" s="196"/>
    </row>
    <row r="389" spans="1:22" x14ac:dyDescent="0.2">
      <c r="A389" s="196"/>
    </row>
    <row r="390" spans="1:22" x14ac:dyDescent="0.2">
      <c r="V390" s="196"/>
    </row>
    <row r="395" spans="1:22" x14ac:dyDescent="0.2">
      <c r="A395" s="196"/>
    </row>
    <row r="396" spans="1:22" x14ac:dyDescent="0.2">
      <c r="V396" s="196"/>
    </row>
    <row r="401" spans="1:1" x14ac:dyDescent="0.2">
      <c r="A401" s="196"/>
    </row>
    <row r="407" spans="1:1" x14ac:dyDescent="0.2">
      <c r="A407" s="196"/>
    </row>
    <row r="420" spans="1:39" s="196" customFormat="1" x14ac:dyDescent="0.2">
      <c r="B420" s="194"/>
      <c r="C420" s="194"/>
      <c r="D420" s="194"/>
      <c r="E420" s="194"/>
      <c r="F420" s="198"/>
      <c r="G420" s="198"/>
      <c r="H420" s="194"/>
      <c r="I420" s="194"/>
      <c r="J420" s="194"/>
      <c r="K420" s="194"/>
      <c r="L420" s="198"/>
      <c r="M420" s="198"/>
      <c r="N420" s="198"/>
      <c r="O420" s="198"/>
      <c r="P420" s="198"/>
      <c r="Q420" s="198"/>
      <c r="R420" s="198"/>
      <c r="S420" s="194"/>
      <c r="T420" s="194"/>
      <c r="U420" s="194"/>
      <c r="V420" s="194"/>
      <c r="W420" s="194"/>
      <c r="X420" s="194"/>
      <c r="Y420" s="194"/>
      <c r="Z420" s="194"/>
      <c r="AA420" s="194"/>
      <c r="AB420" s="194"/>
      <c r="AC420" s="194"/>
      <c r="AD420" s="194"/>
      <c r="AE420" s="194"/>
      <c r="AF420" s="194"/>
      <c r="AG420" s="194"/>
      <c r="AH420" s="194"/>
      <c r="AI420" s="194"/>
      <c r="AJ420" s="194"/>
      <c r="AK420" s="194"/>
      <c r="AL420" s="194"/>
      <c r="AM420" s="194"/>
    </row>
    <row r="425" spans="1:39" s="196" customFormat="1" x14ac:dyDescent="0.2">
      <c r="A425" s="194"/>
      <c r="B425" s="194"/>
      <c r="C425" s="194"/>
      <c r="D425" s="194"/>
      <c r="E425" s="194"/>
      <c r="F425" s="198"/>
      <c r="G425" s="198"/>
      <c r="H425" s="194"/>
      <c r="I425" s="194"/>
      <c r="J425" s="194"/>
      <c r="K425" s="194"/>
      <c r="L425" s="198"/>
      <c r="M425" s="198"/>
      <c r="N425" s="198"/>
      <c r="O425" s="198"/>
      <c r="P425" s="198"/>
      <c r="Q425" s="198"/>
      <c r="R425" s="198"/>
      <c r="S425" s="194"/>
      <c r="T425" s="194"/>
      <c r="U425" s="194"/>
      <c r="V425" s="194"/>
      <c r="W425" s="194"/>
      <c r="X425" s="194"/>
      <c r="Y425" s="194"/>
      <c r="Z425" s="194"/>
      <c r="AA425" s="194"/>
      <c r="AB425" s="194"/>
      <c r="AC425" s="194"/>
      <c r="AD425" s="194"/>
      <c r="AE425" s="194"/>
      <c r="AF425" s="194"/>
      <c r="AG425" s="194"/>
      <c r="AH425" s="194"/>
      <c r="AI425" s="194"/>
      <c r="AJ425" s="194"/>
      <c r="AK425" s="194"/>
      <c r="AL425" s="194"/>
      <c r="AM425" s="194"/>
    </row>
    <row r="426" spans="1:39" x14ac:dyDescent="0.2">
      <c r="A426" s="196"/>
    </row>
    <row r="430" spans="1:39" s="196" customFormat="1" x14ac:dyDescent="0.2">
      <c r="A430" s="194"/>
      <c r="B430" s="194"/>
      <c r="C430" s="194"/>
      <c r="D430" s="194"/>
      <c r="E430" s="194"/>
      <c r="F430" s="198"/>
      <c r="G430" s="198"/>
      <c r="H430" s="194"/>
      <c r="I430" s="194"/>
      <c r="J430" s="194"/>
      <c r="K430" s="194"/>
      <c r="L430" s="198"/>
      <c r="M430" s="198"/>
      <c r="N430" s="198"/>
      <c r="O430" s="198"/>
      <c r="P430" s="198"/>
      <c r="Q430" s="198"/>
      <c r="R430" s="198"/>
      <c r="S430" s="194"/>
      <c r="T430" s="194"/>
      <c r="U430" s="194"/>
      <c r="V430" s="194"/>
      <c r="W430" s="194"/>
      <c r="X430" s="194"/>
      <c r="Y430" s="194"/>
      <c r="Z430" s="194"/>
      <c r="AA430" s="194"/>
      <c r="AB430" s="194"/>
      <c r="AC430" s="194"/>
      <c r="AD430" s="194"/>
      <c r="AE430" s="194"/>
      <c r="AF430" s="194"/>
      <c r="AG430" s="194"/>
      <c r="AH430" s="194"/>
      <c r="AI430" s="194"/>
      <c r="AJ430" s="194"/>
      <c r="AK430" s="194"/>
      <c r="AL430" s="194"/>
      <c r="AM430" s="194"/>
    </row>
    <row r="432" spans="1:39" x14ac:dyDescent="0.2">
      <c r="A432" s="196"/>
    </row>
    <row r="435" spans="1:39" s="196" customFormat="1" x14ac:dyDescent="0.2">
      <c r="A435" s="194"/>
      <c r="B435" s="194"/>
      <c r="C435" s="194"/>
      <c r="D435" s="194"/>
      <c r="E435" s="194"/>
      <c r="F435" s="198"/>
      <c r="G435" s="198"/>
      <c r="H435" s="194"/>
      <c r="I435" s="194"/>
      <c r="J435" s="194"/>
      <c r="K435" s="194"/>
      <c r="L435" s="198"/>
      <c r="M435" s="198"/>
      <c r="N435" s="198"/>
      <c r="O435" s="198"/>
      <c r="P435" s="198"/>
      <c r="Q435" s="198"/>
      <c r="R435" s="198"/>
      <c r="S435" s="194"/>
      <c r="T435" s="194"/>
      <c r="U435" s="194"/>
      <c r="V435" s="194"/>
      <c r="W435" s="194"/>
      <c r="X435" s="194"/>
      <c r="Y435" s="194"/>
      <c r="Z435" s="194"/>
      <c r="AA435" s="194"/>
      <c r="AB435" s="194"/>
      <c r="AC435" s="194"/>
      <c r="AD435" s="194"/>
      <c r="AE435" s="194"/>
      <c r="AF435" s="194"/>
      <c r="AG435" s="194"/>
      <c r="AH435" s="194"/>
      <c r="AI435" s="194"/>
      <c r="AJ435" s="194"/>
      <c r="AK435" s="194"/>
      <c r="AL435" s="194"/>
      <c r="AM435" s="194"/>
    </row>
    <row r="438" spans="1:39" x14ac:dyDescent="0.2">
      <c r="A438" s="196"/>
    </row>
    <row r="440" spans="1:39" s="196" customFormat="1" x14ac:dyDescent="0.2">
      <c r="A440" s="194"/>
      <c r="B440" s="194"/>
      <c r="C440" s="194"/>
      <c r="D440" s="194"/>
      <c r="E440" s="194"/>
      <c r="F440" s="198"/>
      <c r="G440" s="198"/>
      <c r="H440" s="194"/>
      <c r="I440" s="194"/>
      <c r="J440" s="194"/>
      <c r="K440" s="194"/>
      <c r="L440" s="198"/>
      <c r="M440" s="198"/>
      <c r="N440" s="198"/>
      <c r="O440" s="198"/>
      <c r="P440" s="198"/>
      <c r="Q440" s="198"/>
      <c r="R440" s="198"/>
      <c r="S440" s="194"/>
      <c r="T440" s="194"/>
      <c r="U440" s="194"/>
      <c r="V440" s="194"/>
      <c r="W440" s="194"/>
      <c r="X440" s="194"/>
      <c r="Y440" s="194"/>
      <c r="Z440" s="194"/>
      <c r="AA440" s="194"/>
      <c r="AB440" s="194"/>
      <c r="AC440" s="194"/>
      <c r="AD440" s="194"/>
      <c r="AE440" s="194"/>
      <c r="AF440" s="194"/>
      <c r="AG440" s="194"/>
      <c r="AH440" s="194"/>
      <c r="AI440" s="194"/>
      <c r="AJ440" s="194"/>
      <c r="AK440" s="194"/>
      <c r="AL440" s="194"/>
      <c r="AM440" s="194"/>
    </row>
    <row r="443" spans="1:39" x14ac:dyDescent="0.2">
      <c r="U443" s="171"/>
    </row>
    <row r="444" spans="1:39" x14ac:dyDescent="0.2">
      <c r="A444" s="196"/>
    </row>
    <row r="450" spans="1:39" x14ac:dyDescent="0.2">
      <c r="A450" s="196"/>
    </row>
    <row r="453" spans="1:39" s="196" customFormat="1" x14ac:dyDescent="0.2">
      <c r="A453" s="194"/>
      <c r="B453" s="194"/>
      <c r="C453" s="194"/>
      <c r="D453" s="194"/>
      <c r="E453" s="194"/>
      <c r="F453" s="198"/>
      <c r="G453" s="198"/>
      <c r="H453" s="194"/>
      <c r="I453" s="194"/>
      <c r="J453" s="194"/>
      <c r="K453" s="194"/>
      <c r="L453" s="198"/>
      <c r="M453" s="198"/>
      <c r="N453" s="198"/>
      <c r="O453" s="198"/>
      <c r="P453" s="198"/>
      <c r="Q453" s="198"/>
      <c r="R453" s="198"/>
      <c r="S453" s="194"/>
      <c r="T453" s="194"/>
      <c r="U453" s="194"/>
      <c r="V453" s="194"/>
      <c r="W453" s="194"/>
      <c r="X453" s="194"/>
      <c r="Y453" s="194"/>
      <c r="Z453" s="194"/>
      <c r="AA453" s="194"/>
      <c r="AB453" s="194"/>
      <c r="AC453" s="194"/>
      <c r="AD453" s="194"/>
      <c r="AE453" s="194"/>
      <c r="AF453" s="194"/>
      <c r="AG453" s="194"/>
      <c r="AH453" s="194"/>
      <c r="AI453" s="194"/>
      <c r="AJ453" s="194"/>
      <c r="AK453" s="194"/>
      <c r="AL453" s="194"/>
      <c r="AM453" s="194"/>
    </row>
    <row r="459" spans="1:39" s="196" customFormat="1" x14ac:dyDescent="0.2">
      <c r="A459" s="194"/>
      <c r="B459" s="194"/>
      <c r="C459" s="194"/>
      <c r="D459" s="194"/>
      <c r="E459" s="194"/>
      <c r="F459" s="198"/>
      <c r="G459" s="198"/>
      <c r="H459" s="194"/>
      <c r="I459" s="194"/>
      <c r="J459" s="194"/>
      <c r="K459" s="194"/>
      <c r="L459" s="198"/>
      <c r="M459" s="198"/>
      <c r="N459" s="198"/>
      <c r="O459" s="198"/>
      <c r="P459" s="198"/>
      <c r="Q459" s="198"/>
      <c r="R459" s="198"/>
      <c r="S459" s="194"/>
      <c r="T459" s="194"/>
      <c r="U459" s="194"/>
      <c r="V459" s="194"/>
      <c r="W459" s="194"/>
      <c r="X459" s="194"/>
      <c r="Y459" s="194"/>
      <c r="Z459" s="194"/>
      <c r="AA459" s="194"/>
      <c r="AB459" s="194"/>
      <c r="AC459" s="194"/>
      <c r="AD459" s="194"/>
      <c r="AE459" s="194"/>
      <c r="AF459" s="194"/>
      <c r="AG459" s="194"/>
      <c r="AH459" s="194"/>
      <c r="AI459" s="194"/>
      <c r="AJ459" s="194"/>
      <c r="AK459" s="194"/>
      <c r="AL459" s="194"/>
      <c r="AM459" s="194"/>
    </row>
    <row r="465" spans="1:39" s="196" customFormat="1" x14ac:dyDescent="0.2">
      <c r="A465" s="194"/>
      <c r="B465" s="194"/>
      <c r="C465" s="194"/>
      <c r="D465" s="194"/>
      <c r="E465" s="194"/>
      <c r="F465" s="198"/>
      <c r="G465" s="198"/>
      <c r="H465" s="194"/>
      <c r="I465" s="194"/>
      <c r="J465" s="194"/>
      <c r="K465" s="194"/>
      <c r="L465" s="198"/>
      <c r="M465" s="198"/>
      <c r="N465" s="198"/>
      <c r="O465" s="198"/>
      <c r="P465" s="198"/>
      <c r="Q465" s="198"/>
      <c r="R465" s="198"/>
      <c r="S465" s="194"/>
      <c r="T465" s="194"/>
      <c r="U465" s="194"/>
      <c r="V465" s="194"/>
      <c r="W465" s="194"/>
      <c r="X465" s="194"/>
      <c r="Y465" s="194"/>
      <c r="Z465" s="194"/>
      <c r="AA465" s="194"/>
      <c r="AB465" s="194"/>
      <c r="AC465" s="194"/>
      <c r="AD465" s="194"/>
      <c r="AE465" s="194"/>
      <c r="AF465" s="194"/>
      <c r="AG465" s="194"/>
      <c r="AH465" s="194"/>
      <c r="AI465" s="194"/>
      <c r="AJ465" s="194"/>
      <c r="AK465" s="194"/>
      <c r="AL465" s="194"/>
      <c r="AM465" s="194"/>
    </row>
    <row r="471" spans="1:39" s="196" customFormat="1" x14ac:dyDescent="0.2">
      <c r="A471" s="194"/>
      <c r="B471" s="194"/>
      <c r="C471" s="194"/>
      <c r="D471" s="194"/>
      <c r="E471" s="194"/>
      <c r="F471" s="198"/>
      <c r="G471" s="198"/>
      <c r="H471" s="194"/>
      <c r="I471" s="194"/>
      <c r="J471" s="194"/>
      <c r="K471" s="194"/>
      <c r="L471" s="198"/>
      <c r="M471" s="198"/>
      <c r="N471" s="198"/>
      <c r="O471" s="198"/>
      <c r="P471" s="198"/>
      <c r="Q471" s="198"/>
      <c r="R471" s="198"/>
      <c r="S471" s="194"/>
      <c r="T471" s="194"/>
      <c r="U471" s="194"/>
      <c r="V471" s="194"/>
      <c r="W471" s="194"/>
      <c r="X471" s="194"/>
      <c r="Y471" s="194"/>
      <c r="Z471" s="194"/>
      <c r="AA471" s="194"/>
      <c r="AB471" s="194"/>
      <c r="AC471" s="194"/>
      <c r="AD471" s="194"/>
      <c r="AE471" s="194"/>
      <c r="AF471" s="194"/>
      <c r="AG471" s="194"/>
      <c r="AH471" s="194"/>
      <c r="AI471" s="194"/>
      <c r="AJ471" s="194"/>
      <c r="AK471" s="194"/>
      <c r="AL471" s="194"/>
      <c r="AM471" s="194"/>
    </row>
    <row r="477" spans="1:39" s="196" customFormat="1" x14ac:dyDescent="0.2">
      <c r="A477" s="194"/>
      <c r="B477" s="194"/>
      <c r="C477" s="194"/>
      <c r="D477" s="194"/>
      <c r="E477" s="194"/>
      <c r="F477" s="198"/>
      <c r="G477" s="198"/>
      <c r="H477" s="194"/>
      <c r="I477" s="194"/>
      <c r="J477" s="194"/>
      <c r="K477" s="194"/>
      <c r="L477" s="198"/>
      <c r="M477" s="198"/>
      <c r="N477" s="198"/>
      <c r="O477" s="198"/>
      <c r="P477" s="198"/>
      <c r="Q477" s="198"/>
      <c r="R477" s="198"/>
      <c r="S477" s="194"/>
      <c r="T477" s="194"/>
      <c r="U477" s="194"/>
      <c r="V477" s="194"/>
      <c r="W477" s="194"/>
      <c r="X477" s="194"/>
      <c r="Y477" s="194"/>
      <c r="Z477" s="194"/>
      <c r="AA477" s="194"/>
      <c r="AB477" s="194"/>
      <c r="AC477" s="194"/>
      <c r="AD477" s="194"/>
      <c r="AE477" s="194"/>
      <c r="AF477" s="194"/>
      <c r="AG477" s="194"/>
      <c r="AH477" s="194"/>
      <c r="AI477" s="194"/>
      <c r="AJ477" s="194"/>
      <c r="AK477" s="194"/>
      <c r="AL477" s="194"/>
      <c r="AM477" s="194"/>
    </row>
    <row r="483" spans="1:39" s="196" customFormat="1" x14ac:dyDescent="0.2">
      <c r="A483" s="194"/>
      <c r="B483" s="194"/>
      <c r="C483" s="194"/>
      <c r="D483" s="194"/>
      <c r="E483" s="194"/>
      <c r="F483" s="198"/>
      <c r="G483" s="198"/>
      <c r="H483" s="194"/>
      <c r="I483" s="194"/>
      <c r="J483" s="194"/>
      <c r="K483" s="194"/>
      <c r="L483" s="198"/>
      <c r="M483" s="198"/>
      <c r="N483" s="198"/>
      <c r="O483" s="198"/>
      <c r="P483" s="198"/>
      <c r="Q483" s="198"/>
      <c r="R483" s="198"/>
      <c r="S483" s="194"/>
      <c r="T483" s="194"/>
      <c r="U483" s="194"/>
      <c r="V483" s="194"/>
      <c r="W483" s="194"/>
      <c r="X483" s="194"/>
      <c r="Y483" s="194"/>
      <c r="Z483" s="194"/>
      <c r="AA483" s="194"/>
      <c r="AB483" s="194"/>
      <c r="AC483" s="194"/>
      <c r="AD483" s="194"/>
      <c r="AE483" s="194"/>
      <c r="AF483" s="194"/>
      <c r="AG483" s="194"/>
      <c r="AH483" s="194"/>
      <c r="AI483" s="194"/>
      <c r="AJ483" s="194"/>
      <c r="AK483" s="194"/>
      <c r="AL483" s="194"/>
      <c r="AM483" s="194"/>
    </row>
    <row r="495" spans="1:39" x14ac:dyDescent="0.2">
      <c r="U495" s="196"/>
    </row>
    <row r="496" spans="1:39" s="196" customFormat="1" x14ac:dyDescent="0.2">
      <c r="A496" s="194"/>
      <c r="B496" s="194"/>
      <c r="C496" s="194"/>
      <c r="D496" s="194"/>
      <c r="E496" s="194"/>
      <c r="F496" s="198"/>
      <c r="G496" s="198"/>
      <c r="H496" s="194"/>
      <c r="I496" s="194"/>
      <c r="J496" s="194"/>
      <c r="K496" s="194"/>
      <c r="L496" s="198"/>
      <c r="M496" s="198"/>
      <c r="N496" s="198"/>
      <c r="O496" s="198"/>
      <c r="P496" s="198"/>
      <c r="Q496" s="198"/>
      <c r="R496" s="198"/>
      <c r="S496" s="194"/>
      <c r="T496" s="194"/>
      <c r="U496" s="194"/>
      <c r="V496" s="194"/>
      <c r="W496" s="194"/>
      <c r="X496" s="194"/>
      <c r="Y496" s="194"/>
      <c r="Z496" s="194"/>
      <c r="AA496" s="194"/>
      <c r="AB496" s="194"/>
      <c r="AC496" s="194"/>
      <c r="AD496" s="194"/>
      <c r="AE496" s="194"/>
      <c r="AF496" s="194"/>
      <c r="AG496" s="194"/>
      <c r="AH496" s="194"/>
      <c r="AI496" s="194"/>
      <c r="AJ496" s="194"/>
      <c r="AK496" s="194"/>
      <c r="AL496" s="194"/>
      <c r="AM496" s="194"/>
    </row>
    <row r="500" spans="1:39" x14ac:dyDescent="0.2">
      <c r="U500" s="196"/>
    </row>
    <row r="502" spans="1:39" s="196" customFormat="1" x14ac:dyDescent="0.2">
      <c r="A502" s="194"/>
      <c r="B502" s="194"/>
      <c r="C502" s="194"/>
      <c r="D502" s="194"/>
      <c r="E502" s="194"/>
      <c r="F502" s="198"/>
      <c r="G502" s="198"/>
      <c r="H502" s="194"/>
      <c r="I502" s="194"/>
      <c r="J502" s="194"/>
      <c r="K502" s="194"/>
      <c r="L502" s="198"/>
      <c r="M502" s="198"/>
      <c r="N502" s="198"/>
      <c r="O502" s="198"/>
      <c r="P502" s="198"/>
      <c r="Q502" s="198"/>
      <c r="R502" s="198"/>
      <c r="S502" s="194"/>
      <c r="T502" s="194"/>
      <c r="U502" s="194"/>
      <c r="V502" s="194"/>
      <c r="W502" s="194"/>
      <c r="X502" s="194"/>
      <c r="Y502" s="194"/>
      <c r="Z502" s="194"/>
      <c r="AA502" s="194"/>
      <c r="AB502" s="194"/>
      <c r="AC502" s="194"/>
      <c r="AD502" s="194"/>
      <c r="AE502" s="194"/>
      <c r="AF502" s="194"/>
      <c r="AG502" s="194"/>
      <c r="AH502" s="194"/>
      <c r="AI502" s="194"/>
      <c r="AJ502" s="194"/>
      <c r="AK502" s="194"/>
      <c r="AL502" s="194"/>
      <c r="AM502" s="194"/>
    </row>
    <row r="505" spans="1:39" x14ac:dyDescent="0.2">
      <c r="U505" s="196"/>
    </row>
    <row r="508" spans="1:39" s="196" customFormat="1" x14ac:dyDescent="0.2">
      <c r="A508" s="194"/>
      <c r="B508" s="194"/>
      <c r="C508" s="194"/>
      <c r="D508" s="194"/>
      <c r="E508" s="194"/>
      <c r="F508" s="198"/>
      <c r="G508" s="198"/>
      <c r="H508" s="194"/>
      <c r="I508" s="194"/>
      <c r="J508" s="194"/>
      <c r="K508" s="194"/>
      <c r="L508" s="198"/>
      <c r="M508" s="198"/>
      <c r="N508" s="198"/>
      <c r="O508" s="198"/>
      <c r="P508" s="198"/>
      <c r="Q508" s="198"/>
      <c r="R508" s="198"/>
      <c r="S508" s="194"/>
      <c r="T508" s="194"/>
      <c r="U508" s="194"/>
      <c r="V508" s="194"/>
      <c r="W508" s="194"/>
      <c r="X508" s="194"/>
      <c r="Y508" s="194"/>
      <c r="Z508" s="194"/>
      <c r="AA508" s="194"/>
      <c r="AB508" s="194"/>
      <c r="AC508" s="194"/>
      <c r="AD508" s="194"/>
      <c r="AE508" s="194"/>
      <c r="AF508" s="194"/>
      <c r="AG508" s="194"/>
      <c r="AH508" s="194"/>
      <c r="AI508" s="194"/>
      <c r="AJ508" s="194"/>
      <c r="AK508" s="194"/>
      <c r="AL508" s="194"/>
      <c r="AM508" s="194"/>
    </row>
    <row r="510" spans="1:39" x14ac:dyDescent="0.2">
      <c r="U510" s="196"/>
    </row>
    <row r="514" spans="1:39" s="196" customFormat="1" x14ac:dyDescent="0.2">
      <c r="A514" s="194"/>
      <c r="B514" s="194"/>
      <c r="C514" s="194"/>
      <c r="D514" s="194"/>
      <c r="E514" s="194"/>
      <c r="F514" s="198"/>
      <c r="G514" s="198"/>
      <c r="H514" s="194"/>
      <c r="I514" s="194"/>
      <c r="J514" s="194"/>
      <c r="K514" s="194"/>
      <c r="L514" s="198"/>
      <c r="M514" s="198"/>
      <c r="N514" s="198"/>
      <c r="O514" s="198"/>
      <c r="P514" s="198"/>
      <c r="Q514" s="198"/>
      <c r="R514" s="198"/>
      <c r="S514" s="194"/>
      <c r="T514" s="194"/>
      <c r="U514" s="194"/>
      <c r="V514" s="194"/>
      <c r="W514" s="194"/>
      <c r="X514" s="194"/>
      <c r="Y514" s="194"/>
      <c r="Z514" s="194"/>
      <c r="AA514" s="194"/>
      <c r="AB514" s="194"/>
      <c r="AC514" s="194"/>
      <c r="AD514" s="194"/>
      <c r="AE514" s="194"/>
      <c r="AF514" s="194"/>
      <c r="AG514" s="194"/>
      <c r="AH514" s="194"/>
      <c r="AI514" s="194"/>
      <c r="AJ514" s="194"/>
      <c r="AK514" s="194"/>
      <c r="AL514" s="194"/>
      <c r="AM514" s="194"/>
    </row>
    <row r="515" spans="1:39" x14ac:dyDescent="0.2">
      <c r="U515" s="196"/>
    </row>
    <row r="520" spans="1:39" s="196" customFormat="1" x14ac:dyDescent="0.2">
      <c r="A520" s="194"/>
      <c r="B520" s="194"/>
      <c r="C520" s="194"/>
      <c r="D520" s="194"/>
      <c r="E520" s="194"/>
      <c r="F520" s="198"/>
      <c r="G520" s="198"/>
      <c r="H520" s="194"/>
      <c r="I520" s="194"/>
      <c r="J520" s="194"/>
      <c r="K520" s="194"/>
      <c r="L520" s="198"/>
      <c r="M520" s="198"/>
      <c r="N520" s="198"/>
      <c r="O520" s="198"/>
      <c r="P520" s="198"/>
      <c r="Q520" s="198"/>
      <c r="R520" s="198"/>
      <c r="S520" s="194"/>
      <c r="T520" s="194"/>
      <c r="U520" s="194"/>
      <c r="V520" s="194"/>
      <c r="W520" s="194"/>
      <c r="X520" s="194"/>
      <c r="Y520" s="194"/>
      <c r="Z520" s="194"/>
      <c r="AA520" s="194"/>
      <c r="AB520" s="194"/>
      <c r="AC520" s="194"/>
      <c r="AD520" s="194"/>
      <c r="AE520" s="194"/>
      <c r="AF520" s="194"/>
      <c r="AG520" s="194"/>
      <c r="AH520" s="194"/>
      <c r="AI520" s="194"/>
      <c r="AJ520" s="194"/>
      <c r="AK520" s="194"/>
      <c r="AL520" s="194"/>
      <c r="AM520" s="194"/>
    </row>
    <row r="526" spans="1:39" s="196" customFormat="1" x14ac:dyDescent="0.2">
      <c r="A526" s="194"/>
      <c r="B526" s="194"/>
      <c r="C526" s="194"/>
      <c r="D526" s="194"/>
      <c r="E526" s="194"/>
      <c r="F526" s="198"/>
      <c r="G526" s="198"/>
      <c r="H526" s="194"/>
      <c r="I526" s="194"/>
      <c r="J526" s="194"/>
      <c r="K526" s="194"/>
      <c r="L526" s="198"/>
      <c r="M526" s="198"/>
      <c r="N526" s="198"/>
      <c r="O526" s="198"/>
      <c r="P526" s="198"/>
      <c r="Q526" s="198"/>
      <c r="R526" s="198"/>
      <c r="S526" s="194"/>
      <c r="T526" s="194"/>
      <c r="U526" s="194"/>
      <c r="V526" s="194"/>
      <c r="W526" s="194"/>
      <c r="X526" s="194"/>
      <c r="Y526" s="194"/>
      <c r="Z526" s="194"/>
      <c r="AA526" s="194"/>
      <c r="AB526" s="194"/>
      <c r="AC526" s="194"/>
      <c r="AD526" s="194"/>
      <c r="AE526" s="194"/>
      <c r="AF526" s="194"/>
      <c r="AG526" s="194"/>
      <c r="AH526" s="194"/>
      <c r="AI526" s="194"/>
      <c r="AJ526" s="194"/>
      <c r="AK526" s="194"/>
      <c r="AL526" s="194"/>
      <c r="AM526" s="194"/>
    </row>
    <row r="528" spans="1:39" x14ac:dyDescent="0.2">
      <c r="U528" s="196"/>
    </row>
    <row r="534" spans="21:21" x14ac:dyDescent="0.2">
      <c r="U534" s="196"/>
    </row>
    <row r="540" spans="21:21" x14ac:dyDescent="0.2">
      <c r="U540" s="196"/>
    </row>
    <row r="546" spans="21:21" x14ac:dyDescent="0.2">
      <c r="U546" s="196"/>
    </row>
    <row r="552" spans="21:21" x14ac:dyDescent="0.2">
      <c r="U552" s="196"/>
    </row>
    <row r="558" spans="21:21" x14ac:dyDescent="0.2">
      <c r="U558" s="196"/>
    </row>
    <row r="571" spans="21:21" x14ac:dyDescent="0.2">
      <c r="U571" s="196"/>
    </row>
    <row r="577" spans="21:21" x14ac:dyDescent="0.2">
      <c r="U577" s="196"/>
    </row>
    <row r="583" spans="21:21" x14ac:dyDescent="0.2">
      <c r="U583" s="196"/>
    </row>
    <row r="589" spans="21:21" x14ac:dyDescent="0.2">
      <c r="U589" s="196"/>
    </row>
    <row r="595" spans="21:21" x14ac:dyDescent="0.2">
      <c r="U595" s="196"/>
    </row>
    <row r="601" spans="21:21" x14ac:dyDescent="0.2">
      <c r="U601" s="196"/>
    </row>
  </sheetData>
  <sheetProtection algorithmName="SHA-512" hashValue="bi63taohPObNv+6HmFOIqrlT6cmEmb47dejJxhwVGo3g9cCNGHLZOvTQ0UzfdElOSDl0vQP05IYh1TZ2ohjNFw==" saltValue="eL1Ms7mLdDVs0XjbLQIA2A==" spinCount="100000" sheet="1" objects="1" scenarios="1"/>
  <phoneticPr fontId="0" type="noConversion"/>
  <pageMargins left="0.74803149606299213" right="0.74803149606299213" top="0.98425196850393704" bottom="0.98425196850393704" header="0.51181102362204722" footer="0.51181102362204722"/>
  <pageSetup paperSize="9" scale="60" orientation="landscape" r:id="rId1"/>
  <headerFooter alignWithMargins="0">
    <oddHeader>&amp;L&amp;"Arial,Vet"&amp;9&amp;F&amp;R&amp;"Arial,Vet"&amp;9&amp;A</oddHeader>
    <oddFooter>&amp;L&amp;"Arial,Vet"&amp;9be.keizer@wxs.nl&amp;C&amp;"Arial,Vet"&amp;9pagina &amp;P&amp;R&amp;"Arial,Vet"&amp;9&amp;D</oddFooter>
  </headerFooter>
  <rowBreaks count="6" manualBreakCount="6">
    <brk id="58" min="1" max="16" man="1"/>
    <brk id="146" min="19" max="31" man="1"/>
    <brk id="150" min="1" max="19" man="1"/>
    <brk id="243" min="1" max="13" man="1"/>
    <brk id="344" min="1" max="12" man="1"/>
    <brk id="422" min="1" max="12"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148"/>
  <sheetViews>
    <sheetView zoomScale="85" zoomScaleNormal="85" zoomScaleSheetLayoutView="90" workbookViewId="0">
      <selection activeCell="B2" sqref="B2"/>
    </sheetView>
  </sheetViews>
  <sheetFormatPr defaultRowHeight="12.75" x14ac:dyDescent="0.2"/>
  <cols>
    <col min="1" max="1" width="3.7109375" style="165" customWidth="1"/>
    <col min="2" max="2" width="3.85546875" style="165" customWidth="1"/>
    <col min="3" max="3" width="2.7109375" style="165" customWidth="1"/>
    <col min="4" max="4" width="44.7109375" style="165" customWidth="1"/>
    <col min="5" max="5" width="2.7109375" style="165" customWidth="1"/>
    <col min="6" max="6" width="10.85546875" style="165" customWidth="1"/>
    <col min="7" max="7" width="13.85546875" style="165" customWidth="1"/>
    <col min="8" max="8" width="17.140625" style="165" customWidth="1"/>
    <col min="9" max="9" width="15" style="165" customWidth="1"/>
    <col min="10" max="10" width="13.7109375" style="165" customWidth="1"/>
    <col min="11" max="11" width="14.5703125" style="165" customWidth="1"/>
    <col min="12" max="13" width="2.7109375" style="165" customWidth="1"/>
    <col min="14" max="16384" width="9.140625" style="165"/>
  </cols>
  <sheetData>
    <row r="2" spans="2:13" x14ac:dyDescent="0.2">
      <c r="B2" s="18"/>
      <c r="C2" s="19"/>
      <c r="D2" s="19"/>
      <c r="E2" s="19"/>
      <c r="F2" s="174"/>
      <c r="G2" s="174"/>
      <c r="H2" s="174"/>
      <c r="I2" s="19"/>
      <c r="J2" s="73"/>
      <c r="K2" s="893"/>
      <c r="L2" s="893"/>
      <c r="M2" s="894"/>
    </row>
    <row r="3" spans="2:13" x14ac:dyDescent="0.2">
      <c r="B3" s="21"/>
      <c r="C3" s="22"/>
      <c r="D3" s="23"/>
      <c r="E3" s="22"/>
      <c r="F3" s="24"/>
      <c r="G3" s="24"/>
      <c r="H3" s="24"/>
      <c r="I3" s="22"/>
      <c r="J3" s="77"/>
      <c r="K3" s="890"/>
      <c r="L3" s="890"/>
      <c r="M3" s="891"/>
    </row>
    <row r="4" spans="2:13" s="168" customFormat="1" ht="18.75" x14ac:dyDescent="0.3">
      <c r="B4" s="175"/>
      <c r="C4" s="643" t="s">
        <v>907</v>
      </c>
      <c r="D4" s="177"/>
      <c r="E4" s="177"/>
      <c r="F4" s="178"/>
      <c r="G4" s="178"/>
      <c r="H4" s="178"/>
      <c r="I4" s="177"/>
      <c r="J4" s="44"/>
      <c r="K4" s="892"/>
      <c r="L4" s="890"/>
      <c r="M4" s="891"/>
    </row>
    <row r="5" spans="2:13" s="169" customFormat="1" ht="18.75" x14ac:dyDescent="0.3">
      <c r="B5" s="26"/>
      <c r="C5" s="27" t="str">
        <f>'geg LO'!C5</f>
        <v xml:space="preserve">SWV VO </v>
      </c>
      <c r="D5" s="58"/>
      <c r="E5" s="27"/>
      <c r="F5" s="180"/>
      <c r="G5" s="180"/>
      <c r="H5" s="180"/>
      <c r="I5" s="27"/>
      <c r="J5" s="77"/>
      <c r="K5" s="691"/>
      <c r="L5" s="890"/>
      <c r="M5" s="891"/>
    </row>
    <row r="6" spans="2:13" ht="15.75" x14ac:dyDescent="0.25">
      <c r="B6" s="76"/>
      <c r="C6" s="1543" t="s">
        <v>977</v>
      </c>
      <c r="D6" s="57"/>
      <c r="E6" s="24"/>
      <c r="F6" s="24"/>
      <c r="G6" s="24"/>
      <c r="H6" s="22"/>
      <c r="I6" s="77"/>
      <c r="J6" s="890"/>
      <c r="K6" s="890"/>
      <c r="L6" s="890"/>
      <c r="M6" s="891"/>
    </row>
    <row r="7" spans="2:13" ht="15.75" x14ac:dyDescent="0.25">
      <c r="B7" s="76"/>
      <c r="C7" s="1543"/>
      <c r="D7" s="57"/>
      <c r="E7" s="24"/>
      <c r="F7" s="24"/>
      <c r="G7" s="24"/>
      <c r="H7" s="22"/>
      <c r="I7" s="77"/>
      <c r="J7" s="890"/>
      <c r="K7" s="890"/>
      <c r="L7" s="890"/>
      <c r="M7" s="1182"/>
    </row>
    <row r="8" spans="2:13" ht="18.75" x14ac:dyDescent="0.3">
      <c r="B8" s="21"/>
      <c r="C8" s="58" t="s">
        <v>409</v>
      </c>
      <c r="D8" s="23"/>
      <c r="E8" s="22"/>
      <c r="F8" s="24"/>
      <c r="G8" s="24"/>
      <c r="H8" s="24"/>
      <c r="I8" s="22"/>
      <c r="J8" s="77"/>
      <c r="K8" s="890"/>
      <c r="L8" s="890"/>
      <c r="M8" s="891"/>
    </row>
    <row r="9" spans="2:13" x14ac:dyDescent="0.2">
      <c r="B9" s="21"/>
      <c r="C9" s="22"/>
      <c r="D9" s="23"/>
      <c r="E9" s="22"/>
      <c r="F9" s="24"/>
      <c r="G9" s="24"/>
      <c r="H9" s="24"/>
      <c r="I9" s="22"/>
      <c r="J9" s="77"/>
      <c r="K9" s="890"/>
      <c r="L9" s="890"/>
      <c r="M9" s="891"/>
    </row>
    <row r="10" spans="2:13" x14ac:dyDescent="0.2">
      <c r="B10" s="21"/>
      <c r="C10" s="35"/>
      <c r="D10" s="35"/>
      <c r="E10" s="35"/>
      <c r="F10" s="186"/>
      <c r="G10" s="186"/>
      <c r="H10" s="186"/>
      <c r="I10" s="35"/>
      <c r="J10" s="35"/>
      <c r="K10" s="919"/>
      <c r="L10" s="890"/>
      <c r="M10" s="891"/>
    </row>
    <row r="11" spans="2:13" x14ac:dyDescent="0.2">
      <c r="B11" s="21"/>
      <c r="C11" s="35"/>
      <c r="D11" s="189" t="s">
        <v>433</v>
      </c>
      <c r="E11" s="35"/>
      <c r="F11" s="607" t="s">
        <v>284</v>
      </c>
      <c r="G11" s="664" t="s">
        <v>434</v>
      </c>
      <c r="H11" s="607" t="s">
        <v>95</v>
      </c>
      <c r="I11" s="35"/>
      <c r="J11" s="35"/>
      <c r="K11" s="919"/>
      <c r="L11" s="890"/>
      <c r="M11" s="891"/>
    </row>
    <row r="12" spans="2:13" x14ac:dyDescent="0.2">
      <c r="B12" s="21"/>
      <c r="C12" s="35"/>
      <c r="D12" s="934" t="s">
        <v>608</v>
      </c>
      <c r="E12" s="35"/>
      <c r="F12" s="607"/>
      <c r="G12" s="607" t="s">
        <v>283</v>
      </c>
      <c r="H12" s="607"/>
      <c r="I12" s="35"/>
      <c r="J12" s="35"/>
      <c r="K12" s="919"/>
      <c r="L12" s="890"/>
      <c r="M12" s="891"/>
    </row>
    <row r="13" spans="2:13" x14ac:dyDescent="0.2">
      <c r="B13" s="21"/>
      <c r="C13" s="35"/>
      <c r="E13" s="35"/>
      <c r="I13" s="35"/>
      <c r="J13" s="35"/>
      <c r="K13" s="919"/>
      <c r="L13" s="890"/>
      <c r="M13" s="891"/>
    </row>
    <row r="14" spans="2:13" x14ac:dyDescent="0.2">
      <c r="B14" s="21"/>
      <c r="C14" s="35"/>
      <c r="D14" s="111" t="s">
        <v>57</v>
      </c>
      <c r="E14" s="35"/>
      <c r="F14" s="152"/>
      <c r="G14" s="577">
        <f t="shared" ref="G14:G19" si="0">VLOOKUP(D14,rugzakpersOverigVO1415,3,FALSE)</f>
        <v>3265.89</v>
      </c>
      <c r="H14" s="577">
        <f t="shared" ref="H14:H19" si="1">+F14*G14</f>
        <v>0</v>
      </c>
      <c r="I14" s="35"/>
      <c r="J14" s="35"/>
      <c r="K14" s="919"/>
      <c r="L14" s="890"/>
      <c r="M14" s="891"/>
    </row>
    <row r="15" spans="2:13" x14ac:dyDescent="0.2">
      <c r="B15" s="21"/>
      <c r="C15" s="35"/>
      <c r="D15" s="111" t="s">
        <v>58</v>
      </c>
      <c r="E15" s="35"/>
      <c r="F15" s="152"/>
      <c r="G15" s="577">
        <f t="shared" si="0"/>
        <v>3265.89</v>
      </c>
      <c r="H15" s="577">
        <f t="shared" si="1"/>
        <v>0</v>
      </c>
      <c r="I15" s="35"/>
      <c r="J15" s="35"/>
      <c r="K15" s="919"/>
      <c r="L15" s="890"/>
      <c r="M15" s="891"/>
    </row>
    <row r="16" spans="2:13" x14ac:dyDescent="0.2">
      <c r="B16" s="21"/>
      <c r="C16" s="35"/>
      <c r="D16" s="111" t="s">
        <v>59</v>
      </c>
      <c r="E16" s="35"/>
      <c r="F16" s="152"/>
      <c r="G16" s="577">
        <f t="shared" si="0"/>
        <v>3265.89</v>
      </c>
      <c r="H16" s="577">
        <f t="shared" si="1"/>
        <v>0</v>
      </c>
      <c r="I16" s="35"/>
      <c r="J16" s="35"/>
      <c r="K16" s="919"/>
      <c r="L16" s="890"/>
      <c r="M16" s="891"/>
    </row>
    <row r="17" spans="2:13" x14ac:dyDescent="0.2">
      <c r="B17" s="936"/>
      <c r="C17" s="35"/>
      <c r="D17" s="1060" t="s">
        <v>748</v>
      </c>
      <c r="E17" s="35"/>
      <c r="F17" s="152"/>
      <c r="G17" s="577">
        <f t="shared" si="0"/>
        <v>8200</v>
      </c>
      <c r="H17" s="577">
        <f t="shared" si="1"/>
        <v>0</v>
      </c>
      <c r="I17" s="35"/>
      <c r="J17" s="35"/>
      <c r="K17" s="919"/>
      <c r="L17" s="890"/>
      <c r="M17" s="1182"/>
    </row>
    <row r="18" spans="2:13" x14ac:dyDescent="0.2">
      <c r="B18" s="21"/>
      <c r="C18" s="35"/>
      <c r="D18" s="111" t="s">
        <v>385</v>
      </c>
      <c r="E18" s="35"/>
      <c r="F18" s="152"/>
      <c r="G18" s="577">
        <f t="shared" si="0"/>
        <v>3265.89</v>
      </c>
      <c r="H18" s="577">
        <f t="shared" si="1"/>
        <v>0</v>
      </c>
      <c r="I18" s="35"/>
      <c r="J18" s="35"/>
      <c r="K18" s="919"/>
      <c r="L18" s="890"/>
      <c r="M18" s="891"/>
    </row>
    <row r="19" spans="2:13" x14ac:dyDescent="0.2">
      <c r="B19" s="21"/>
      <c r="C19" s="35"/>
      <c r="D19" s="111" t="s">
        <v>60</v>
      </c>
      <c r="E19" s="35"/>
      <c r="F19" s="152"/>
      <c r="G19" s="577">
        <f t="shared" si="0"/>
        <v>3265.89</v>
      </c>
      <c r="H19" s="577">
        <f t="shared" si="1"/>
        <v>0</v>
      </c>
      <c r="I19" s="35"/>
      <c r="J19" s="35"/>
      <c r="K19" s="919"/>
      <c r="L19" s="890"/>
      <c r="M19" s="891"/>
    </row>
    <row r="20" spans="2:13" x14ac:dyDescent="0.2">
      <c r="B20" s="21"/>
      <c r="C20" s="40"/>
      <c r="D20" s="196" t="s">
        <v>380</v>
      </c>
      <c r="E20" s="40"/>
      <c r="F20" s="608">
        <f>SUM(F14:F19)</f>
        <v>0</v>
      </c>
      <c r="G20" s="576"/>
      <c r="H20" s="605">
        <f>SUM(H14:H19)</f>
        <v>0</v>
      </c>
      <c r="I20" s="40"/>
      <c r="J20" s="40"/>
      <c r="K20" s="919"/>
      <c r="L20" s="890"/>
      <c r="M20" s="891"/>
    </row>
    <row r="21" spans="2:13" x14ac:dyDescent="0.2">
      <c r="B21" s="936"/>
      <c r="C21" s="1670"/>
      <c r="D21" s="1605" t="s">
        <v>951</v>
      </c>
      <c r="E21" s="1674"/>
      <c r="F21" s="1673"/>
      <c r="G21" s="1671"/>
      <c r="H21" s="1672">
        <f>ROUND(H20*(1+F88),2)</f>
        <v>0</v>
      </c>
      <c r="I21" s="1265"/>
      <c r="J21" s="1265"/>
      <c r="K21" s="890"/>
      <c r="L21" s="890"/>
      <c r="M21" s="891"/>
    </row>
    <row r="22" spans="2:13" x14ac:dyDescent="0.2">
      <c r="B22" s="21"/>
      <c r="C22" s="33"/>
      <c r="D22" s="584"/>
      <c r="E22" s="584"/>
      <c r="F22" s="585"/>
      <c r="G22" s="585"/>
      <c r="H22" s="585"/>
      <c r="I22" s="31"/>
      <c r="J22" s="31"/>
      <c r="K22" s="890"/>
      <c r="L22" s="890"/>
      <c r="M22" s="891"/>
    </row>
    <row r="23" spans="2:13" s="582" customFormat="1" ht="15" x14ac:dyDescent="0.25">
      <c r="B23" s="21"/>
      <c r="C23" s="22"/>
      <c r="D23" s="22"/>
      <c r="E23" s="22"/>
      <c r="F23" s="24"/>
      <c r="G23" s="24"/>
      <c r="H23" s="24"/>
      <c r="I23" s="22"/>
      <c r="J23" s="22"/>
      <c r="K23" s="890"/>
      <c r="L23" s="890"/>
      <c r="M23" s="891"/>
    </row>
    <row r="24" spans="2:13" ht="18.75" x14ac:dyDescent="0.3">
      <c r="B24" s="21"/>
      <c r="C24" s="58" t="s">
        <v>410</v>
      </c>
      <c r="D24" s="23"/>
      <c r="E24" s="22"/>
      <c r="F24" s="24"/>
      <c r="G24" s="24"/>
      <c r="H24" s="24"/>
      <c r="I24" s="22"/>
      <c r="J24" s="22"/>
      <c r="K24" s="890"/>
      <c r="L24" s="890"/>
      <c r="M24" s="891"/>
    </row>
    <row r="25" spans="2:13" x14ac:dyDescent="0.2">
      <c r="B25" s="21"/>
      <c r="C25" s="22"/>
      <c r="D25" s="23"/>
      <c r="E25" s="22"/>
      <c r="F25" s="24"/>
      <c r="G25" s="24"/>
      <c r="H25" s="24"/>
      <c r="I25" s="22"/>
      <c r="J25" s="22"/>
      <c r="K25" s="890"/>
      <c r="L25" s="890"/>
      <c r="M25" s="891"/>
    </row>
    <row r="26" spans="2:13" x14ac:dyDescent="0.2">
      <c r="B26" s="21"/>
      <c r="C26" s="35"/>
      <c r="D26" s="35"/>
      <c r="E26" s="35"/>
      <c r="F26" s="186"/>
      <c r="G26" s="186"/>
      <c r="H26" s="186"/>
      <c r="I26" s="35"/>
      <c r="J26" s="35"/>
      <c r="K26" s="919"/>
      <c r="L26" s="890"/>
      <c r="M26" s="891"/>
    </row>
    <row r="27" spans="2:13" x14ac:dyDescent="0.2">
      <c r="B27" s="21"/>
      <c r="C27" s="35"/>
      <c r="D27" s="189" t="s">
        <v>433</v>
      </c>
      <c r="E27" s="35"/>
      <c r="F27" s="607" t="s">
        <v>284</v>
      </c>
      <c r="G27" s="664" t="s">
        <v>434</v>
      </c>
      <c r="H27" s="607" t="s">
        <v>95</v>
      </c>
      <c r="I27" s="35"/>
      <c r="J27" s="35"/>
      <c r="K27" s="919"/>
      <c r="L27" s="890"/>
      <c r="M27" s="891"/>
    </row>
    <row r="28" spans="2:13" s="172" customFormat="1" x14ac:dyDescent="0.2">
      <c r="B28" s="21"/>
      <c r="C28" s="35"/>
      <c r="D28" s="934" t="s">
        <v>608</v>
      </c>
      <c r="E28" s="35"/>
      <c r="F28" s="607"/>
      <c r="G28" s="607" t="s">
        <v>283</v>
      </c>
      <c r="H28" s="607"/>
      <c r="I28" s="35"/>
      <c r="J28" s="35"/>
      <c r="K28" s="919"/>
      <c r="L28" s="890"/>
      <c r="M28" s="891"/>
    </row>
    <row r="29" spans="2:13" x14ac:dyDescent="0.2">
      <c r="B29" s="21"/>
      <c r="C29" s="35"/>
      <c r="E29" s="35"/>
      <c r="I29" s="35"/>
      <c r="J29" s="35"/>
      <c r="K29" s="919"/>
      <c r="L29" s="890"/>
      <c r="M29" s="891"/>
    </row>
    <row r="30" spans="2:13" x14ac:dyDescent="0.2">
      <c r="B30" s="21"/>
      <c r="C30" s="35"/>
      <c r="D30" s="111" t="s">
        <v>57</v>
      </c>
      <c r="E30" s="35"/>
      <c r="F30" s="152"/>
      <c r="G30" s="577">
        <f t="shared" ref="G30:G35" si="2">VLOOKUP(D30,rugzakpersLWOOPRO1415,3,FALSE)</f>
        <v>1647.92</v>
      </c>
      <c r="H30" s="577">
        <f t="shared" ref="H30:H35" si="3">+F30*G30</f>
        <v>0</v>
      </c>
      <c r="I30" s="35"/>
      <c r="J30" s="35"/>
      <c r="K30" s="919"/>
      <c r="L30" s="890"/>
      <c r="M30" s="891"/>
    </row>
    <row r="31" spans="2:13" x14ac:dyDescent="0.2">
      <c r="B31" s="21"/>
      <c r="C31" s="35"/>
      <c r="D31" s="111" t="s">
        <v>58</v>
      </c>
      <c r="E31" s="35"/>
      <c r="F31" s="152"/>
      <c r="G31" s="577">
        <f t="shared" si="2"/>
        <v>1617.95</v>
      </c>
      <c r="H31" s="577">
        <f t="shared" si="3"/>
        <v>0</v>
      </c>
      <c r="I31" s="35"/>
      <c r="J31" s="35"/>
      <c r="K31" s="919"/>
      <c r="L31" s="890"/>
      <c r="M31" s="891"/>
    </row>
    <row r="32" spans="2:13" x14ac:dyDescent="0.2">
      <c r="B32" s="21"/>
      <c r="C32" s="35"/>
      <c r="D32" s="111" t="s">
        <v>59</v>
      </c>
      <c r="E32" s="35"/>
      <c r="F32" s="152"/>
      <c r="G32" s="577">
        <f t="shared" si="2"/>
        <v>1617.95</v>
      </c>
      <c r="H32" s="577">
        <f t="shared" si="3"/>
        <v>0</v>
      </c>
      <c r="I32" s="35"/>
      <c r="J32" s="35"/>
      <c r="K32" s="919"/>
      <c r="L32" s="890"/>
      <c r="M32" s="891"/>
    </row>
    <row r="33" spans="2:13" x14ac:dyDescent="0.2">
      <c r="B33" s="21"/>
      <c r="C33" s="35"/>
      <c r="D33" s="1060" t="s">
        <v>748</v>
      </c>
      <c r="E33" s="35"/>
      <c r="F33" s="152"/>
      <c r="G33" s="577">
        <f t="shared" si="2"/>
        <v>8200</v>
      </c>
      <c r="H33" s="577">
        <f t="shared" si="3"/>
        <v>0</v>
      </c>
      <c r="I33" s="35"/>
      <c r="J33" s="35"/>
      <c r="K33" s="919"/>
      <c r="L33" s="890"/>
      <c r="M33" s="1182"/>
    </row>
    <row r="34" spans="2:13" s="172" customFormat="1" x14ac:dyDescent="0.2">
      <c r="B34" s="21"/>
      <c r="C34" s="35"/>
      <c r="D34" s="111" t="s">
        <v>385</v>
      </c>
      <c r="E34" s="35"/>
      <c r="F34" s="152"/>
      <c r="G34" s="577">
        <f t="shared" si="2"/>
        <v>1617.95</v>
      </c>
      <c r="H34" s="577">
        <f t="shared" si="3"/>
        <v>0</v>
      </c>
      <c r="I34" s="35"/>
      <c r="J34" s="35"/>
      <c r="K34" s="919"/>
      <c r="L34" s="890"/>
      <c r="M34" s="891"/>
    </row>
    <row r="35" spans="2:13" x14ac:dyDescent="0.2">
      <c r="B35" s="21"/>
      <c r="C35" s="35"/>
      <c r="D35" s="111" t="s">
        <v>60</v>
      </c>
      <c r="E35" s="35"/>
      <c r="F35" s="152"/>
      <c r="G35" s="577">
        <f t="shared" si="2"/>
        <v>1617.95</v>
      </c>
      <c r="H35" s="577">
        <f t="shared" si="3"/>
        <v>0</v>
      </c>
      <c r="I35" s="35"/>
      <c r="J35" s="35"/>
      <c r="K35" s="919"/>
      <c r="L35" s="890"/>
      <c r="M35" s="891"/>
    </row>
    <row r="36" spans="2:13" x14ac:dyDescent="0.2">
      <c r="B36" s="21"/>
      <c r="C36" s="40"/>
      <c r="D36" s="196" t="s">
        <v>380</v>
      </c>
      <c r="E36" s="40"/>
      <c r="F36" s="608">
        <f>SUM(F30:F35)</f>
        <v>0</v>
      </c>
      <c r="G36" s="576"/>
      <c r="H36" s="605">
        <f>SUM(H30:H35)</f>
        <v>0</v>
      </c>
      <c r="I36" s="40"/>
      <c r="J36" s="40"/>
      <c r="K36" s="919"/>
      <c r="L36" s="890"/>
      <c r="M36" s="891"/>
    </row>
    <row r="37" spans="2:13" x14ac:dyDescent="0.2">
      <c r="B37" s="936"/>
      <c r="C37" s="1670"/>
      <c r="D37" s="1605" t="s">
        <v>951</v>
      </c>
      <c r="E37" s="1674"/>
      <c r="F37" s="1673"/>
      <c r="G37" s="1671"/>
      <c r="H37" s="1672">
        <f>ROUND(H36*(1+F88),2)</f>
        <v>0</v>
      </c>
      <c r="I37" s="1265"/>
      <c r="J37" s="1265"/>
      <c r="K37" s="890"/>
      <c r="L37" s="890"/>
      <c r="M37" s="891"/>
    </row>
    <row r="38" spans="2:13" x14ac:dyDescent="0.2">
      <c r="B38" s="21"/>
      <c r="C38" s="33"/>
      <c r="D38" s="584"/>
      <c r="E38" s="584"/>
      <c r="F38" s="585"/>
      <c r="G38" s="585"/>
      <c r="H38" s="585"/>
      <c r="I38" s="31"/>
      <c r="J38" s="31"/>
      <c r="K38" s="890"/>
      <c r="L38" s="890"/>
      <c r="M38" s="891"/>
    </row>
    <row r="39" spans="2:13" x14ac:dyDescent="0.2">
      <c r="B39" s="21"/>
      <c r="C39" s="606"/>
      <c r="D39" s="606"/>
      <c r="E39" s="606"/>
      <c r="F39" s="856"/>
      <c r="G39" s="856"/>
      <c r="H39" s="856"/>
      <c r="I39" s="606"/>
      <c r="J39" s="606"/>
      <c r="K39" s="916"/>
      <c r="L39" s="916"/>
      <c r="M39" s="891"/>
    </row>
    <row r="40" spans="2:13" ht="18.75" x14ac:dyDescent="0.3">
      <c r="B40" s="21"/>
      <c r="C40" s="58" t="s">
        <v>411</v>
      </c>
      <c r="D40" s="606"/>
      <c r="E40" s="606"/>
      <c r="F40" s="856"/>
      <c r="G40" s="856"/>
      <c r="H40" s="856"/>
      <c r="I40" s="606"/>
      <c r="J40" s="606"/>
      <c r="K40" s="916"/>
      <c r="L40" s="916"/>
      <c r="M40" s="891"/>
    </row>
    <row r="41" spans="2:13" x14ac:dyDescent="0.2">
      <c r="B41" s="21"/>
      <c r="C41" s="606"/>
      <c r="D41" s="606"/>
      <c r="E41" s="606"/>
      <c r="F41" s="856"/>
      <c r="G41" s="856"/>
      <c r="H41" s="856"/>
      <c r="I41" s="606"/>
      <c r="J41" s="606"/>
      <c r="K41" s="916"/>
      <c r="L41" s="916"/>
      <c r="M41" s="891"/>
    </row>
    <row r="42" spans="2:13" x14ac:dyDescent="0.2">
      <c r="B42" s="21"/>
      <c r="C42" s="657"/>
      <c r="D42" s="657"/>
      <c r="E42" s="657"/>
      <c r="F42" s="857"/>
      <c r="G42" s="857"/>
      <c r="H42" s="857"/>
      <c r="I42" s="657"/>
      <c r="J42" s="657"/>
      <c r="K42" s="916"/>
      <c r="L42" s="916"/>
      <c r="M42" s="891"/>
    </row>
    <row r="43" spans="2:13" x14ac:dyDescent="0.2">
      <c r="B43" s="21"/>
      <c r="C43" s="657"/>
      <c r="D43" s="657"/>
      <c r="E43" s="657"/>
      <c r="F43" s="607" t="s">
        <v>284</v>
      </c>
      <c r="G43" s="664"/>
      <c r="H43" s="607" t="s">
        <v>95</v>
      </c>
      <c r="I43" s="657"/>
      <c r="J43" s="657"/>
      <c r="K43" s="916"/>
      <c r="L43" s="916"/>
      <c r="M43" s="891"/>
    </row>
    <row r="44" spans="2:13" x14ac:dyDescent="0.2">
      <c r="B44" s="21"/>
      <c r="C44" s="657"/>
      <c r="D44" s="657"/>
      <c r="E44" s="657"/>
      <c r="F44" s="889"/>
      <c r="G44" s="264"/>
      <c r="H44" s="889"/>
      <c r="I44" s="657"/>
      <c r="J44" s="657"/>
      <c r="K44" s="916"/>
      <c r="L44" s="916"/>
      <c r="M44" s="891"/>
    </row>
    <row r="45" spans="2:13" x14ac:dyDescent="0.2">
      <c r="B45" s="21"/>
      <c r="C45" s="657"/>
      <c r="D45" s="657"/>
      <c r="E45" s="657"/>
      <c r="F45" s="857"/>
      <c r="G45" s="857"/>
      <c r="H45" s="857"/>
      <c r="I45" s="657"/>
      <c r="J45" s="657"/>
      <c r="K45" s="916"/>
      <c r="L45" s="916"/>
      <c r="M45" s="891"/>
    </row>
    <row r="46" spans="2:13" x14ac:dyDescent="0.2">
      <c r="B46" s="21"/>
      <c r="D46" s="111" t="s">
        <v>57</v>
      </c>
      <c r="E46" s="71"/>
      <c r="F46" s="536">
        <f t="shared" ref="F46:F52" si="4">+F14+F30</f>
        <v>0</v>
      </c>
      <c r="G46" s="857"/>
      <c r="H46" s="928">
        <f t="shared" ref="H46:H52" si="5">+H14+H30</f>
        <v>0</v>
      </c>
      <c r="I46" s="657"/>
      <c r="J46" s="657"/>
      <c r="K46" s="916"/>
      <c r="L46" s="916"/>
      <c r="M46" s="891"/>
    </row>
    <row r="47" spans="2:13" x14ac:dyDescent="0.2">
      <c r="B47" s="21"/>
      <c r="D47" s="111" t="s">
        <v>58</v>
      </c>
      <c r="E47" s="71"/>
      <c r="F47" s="536">
        <f t="shared" si="4"/>
        <v>0</v>
      </c>
      <c r="G47" s="857"/>
      <c r="H47" s="928">
        <f t="shared" si="5"/>
        <v>0</v>
      </c>
      <c r="I47" s="657"/>
      <c r="J47" s="657"/>
      <c r="K47" s="916"/>
      <c r="L47" s="916"/>
      <c r="M47" s="891"/>
    </row>
    <row r="48" spans="2:13" x14ac:dyDescent="0.2">
      <c r="B48" s="21"/>
      <c r="D48" s="111" t="s">
        <v>59</v>
      </c>
      <c r="E48" s="71"/>
      <c r="F48" s="536">
        <f t="shared" si="4"/>
        <v>0</v>
      </c>
      <c r="G48" s="857"/>
      <c r="H48" s="928">
        <f t="shared" si="5"/>
        <v>0</v>
      </c>
      <c r="I48" s="657"/>
      <c r="J48" s="657"/>
      <c r="K48" s="916"/>
      <c r="L48" s="916"/>
      <c r="M48" s="891"/>
    </row>
    <row r="49" spans="2:13" x14ac:dyDescent="0.2">
      <c r="B49" s="21"/>
      <c r="D49" s="1060" t="s">
        <v>748</v>
      </c>
      <c r="E49" s="71"/>
      <c r="F49" s="536">
        <f t="shared" si="4"/>
        <v>0</v>
      </c>
      <c r="G49" s="857"/>
      <c r="H49" s="928">
        <f t="shared" si="5"/>
        <v>0</v>
      </c>
      <c r="I49" s="657"/>
      <c r="J49" s="657"/>
      <c r="K49" s="916"/>
      <c r="L49" s="916"/>
      <c r="M49" s="1182"/>
    </row>
    <row r="50" spans="2:13" x14ac:dyDescent="0.2">
      <c r="B50" s="21"/>
      <c r="D50" s="111" t="s">
        <v>385</v>
      </c>
      <c r="E50" s="71"/>
      <c r="F50" s="536">
        <f t="shared" si="4"/>
        <v>0</v>
      </c>
      <c r="G50" s="857"/>
      <c r="H50" s="928">
        <f t="shared" si="5"/>
        <v>0</v>
      </c>
      <c r="I50" s="657"/>
      <c r="J50" s="657"/>
      <c r="K50" s="916"/>
      <c r="L50" s="916"/>
      <c r="M50" s="891"/>
    </row>
    <row r="51" spans="2:13" s="172" customFormat="1" x14ac:dyDescent="0.2">
      <c r="B51" s="21"/>
      <c r="C51" s="165"/>
      <c r="D51" s="111" t="s">
        <v>60</v>
      </c>
      <c r="E51" s="71"/>
      <c r="F51" s="536">
        <f t="shared" si="4"/>
        <v>0</v>
      </c>
      <c r="G51" s="857"/>
      <c r="H51" s="928">
        <f t="shared" si="5"/>
        <v>0</v>
      </c>
      <c r="I51" s="657"/>
      <c r="J51" s="657"/>
      <c r="K51" s="916"/>
      <c r="L51" s="916"/>
      <c r="M51" s="891"/>
    </row>
    <row r="52" spans="2:13" x14ac:dyDescent="0.2">
      <c r="B52" s="21"/>
      <c r="D52" s="196" t="s">
        <v>380</v>
      </c>
      <c r="E52" s="640"/>
      <c r="F52" s="858">
        <f t="shared" si="4"/>
        <v>0</v>
      </c>
      <c r="G52" s="857"/>
      <c r="H52" s="929">
        <f t="shared" si="5"/>
        <v>0</v>
      </c>
      <c r="I52" s="657"/>
      <c r="J52" s="657"/>
      <c r="K52" s="916"/>
      <c r="L52" s="916"/>
      <c r="M52" s="891"/>
    </row>
    <row r="53" spans="2:13" x14ac:dyDescent="0.2">
      <c r="B53" s="21"/>
      <c r="C53" s="1670"/>
      <c r="D53" s="1605" t="s">
        <v>951</v>
      </c>
      <c r="E53" s="1674"/>
      <c r="F53" s="1673"/>
      <c r="G53" s="1671"/>
      <c r="H53" s="1672">
        <f>H21+H37</f>
        <v>0</v>
      </c>
      <c r="I53" s="1265"/>
      <c r="J53" s="1265"/>
      <c r="K53" s="916"/>
      <c r="L53" s="916"/>
      <c r="M53" s="891"/>
    </row>
    <row r="54" spans="2:13" x14ac:dyDescent="0.2">
      <c r="B54" s="21"/>
      <c r="C54" s="657"/>
      <c r="D54" s="657"/>
      <c r="E54" s="657"/>
      <c r="F54" s="857"/>
      <c r="G54" s="857"/>
      <c r="H54" s="857"/>
      <c r="I54" s="657"/>
      <c r="J54" s="657"/>
      <c r="K54" s="916"/>
      <c r="L54" s="916"/>
      <c r="M54" s="891"/>
    </row>
    <row r="55" spans="2:13" s="194" customFormat="1" x14ac:dyDescent="0.2">
      <c r="B55" s="76"/>
      <c r="C55" s="739"/>
      <c r="D55" s="739" t="s">
        <v>585</v>
      </c>
      <c r="E55" s="739"/>
      <c r="F55" s="913">
        <v>40452</v>
      </c>
      <c r="G55" s="913">
        <v>40817</v>
      </c>
      <c r="H55" s="913">
        <v>41183</v>
      </c>
      <c r="I55" s="913">
        <f>+tab!D3</f>
        <v>41548</v>
      </c>
      <c r="J55" s="913"/>
      <c r="K55" s="917"/>
      <c r="L55" s="914"/>
      <c r="M55" s="827"/>
    </row>
    <row r="56" spans="2:13" s="194" customFormat="1" x14ac:dyDescent="0.2">
      <c r="B56" s="76"/>
      <c r="C56" s="739"/>
      <c r="D56" s="739" t="s">
        <v>583</v>
      </c>
      <c r="E56" s="739"/>
      <c r="F56" s="1064">
        <v>0</v>
      </c>
      <c r="G56" s="1064">
        <v>0</v>
      </c>
      <c r="H56" s="1064">
        <v>0</v>
      </c>
      <c r="I56" s="930">
        <f>IF('geg ZO'!I27=0,0,+F52/'geg ZO'!I27)</f>
        <v>0</v>
      </c>
      <c r="J56" s="915"/>
      <c r="K56" s="918"/>
      <c r="L56" s="680"/>
      <c r="M56" s="827"/>
    </row>
    <row r="57" spans="2:13" s="194" customFormat="1" x14ac:dyDescent="0.2">
      <c r="B57" s="76"/>
      <c r="C57" s="739"/>
      <c r="D57" s="739" t="s">
        <v>584</v>
      </c>
      <c r="E57" s="739"/>
      <c r="F57" s="930">
        <v>1.652E-2</v>
      </c>
      <c r="G57" s="930">
        <v>1.856E-2</v>
      </c>
      <c r="H57" s="930">
        <v>1.9259999999999999E-2</v>
      </c>
      <c r="I57" s="930">
        <v>1.9650000000000001E-2</v>
      </c>
      <c r="J57" s="915"/>
      <c r="K57" s="918"/>
      <c r="L57" s="680"/>
      <c r="M57" s="827"/>
    </row>
    <row r="58" spans="2:13" x14ac:dyDescent="0.2">
      <c r="B58" s="21"/>
      <c r="C58" s="886"/>
      <c r="D58" s="912"/>
      <c r="E58" s="886"/>
      <c r="F58" s="887"/>
      <c r="G58" s="887"/>
      <c r="H58" s="887"/>
      <c r="I58" s="886"/>
      <c r="J58" s="886"/>
      <c r="K58" s="916"/>
      <c r="L58" s="916"/>
      <c r="M58" s="891"/>
    </row>
    <row r="59" spans="2:13" ht="15" x14ac:dyDescent="0.25">
      <c r="B59" s="1539"/>
      <c r="C59" s="1540"/>
      <c r="D59" s="1541"/>
      <c r="E59" s="1540"/>
      <c r="F59" s="1542"/>
      <c r="G59" s="1542"/>
      <c r="H59" s="1542"/>
      <c r="I59" s="971" t="s">
        <v>429</v>
      </c>
      <c r="J59" s="77"/>
      <c r="K59" s="680"/>
      <c r="L59" s="680"/>
      <c r="M59" s="945"/>
    </row>
    <row r="60" spans="2:13" ht="18.75" x14ac:dyDescent="0.3">
      <c r="B60" s="175"/>
      <c r="C60" s="643" t="s">
        <v>557</v>
      </c>
      <c r="D60" s="177"/>
      <c r="E60" s="177"/>
      <c r="F60" s="178"/>
      <c r="G60" s="178"/>
      <c r="H60" s="178"/>
      <c r="I60" s="178"/>
      <c r="J60" s="178"/>
      <c r="K60" s="178"/>
      <c r="L60" s="177"/>
      <c r="M60" s="583"/>
    </row>
    <row r="61" spans="2:13" ht="18.75" x14ac:dyDescent="0.3">
      <c r="B61" s="1183"/>
      <c r="C61" s="27" t="str">
        <f>C5</f>
        <v xml:space="preserve">SWV VO </v>
      </c>
      <c r="D61" s="58"/>
      <c r="E61" s="27"/>
      <c r="F61" s="180"/>
      <c r="G61" s="180"/>
      <c r="H61" s="180"/>
      <c r="I61" s="180"/>
      <c r="J61" s="180"/>
      <c r="K61" s="180"/>
      <c r="L61" s="27"/>
      <c r="M61" s="78"/>
    </row>
    <row r="62" spans="2:13" x14ac:dyDescent="0.2">
      <c r="B62" s="989"/>
      <c r="C62" s="77"/>
      <c r="D62" s="57"/>
      <c r="E62" s="77"/>
      <c r="F62" s="70"/>
      <c r="G62" s="70"/>
      <c r="H62" s="70"/>
      <c r="I62" s="70"/>
      <c r="J62" s="70"/>
      <c r="K62" s="70"/>
      <c r="L62" s="77"/>
      <c r="M62" s="78"/>
    </row>
    <row r="63" spans="2:13" ht="18.75" x14ac:dyDescent="0.3">
      <c r="B63" s="989"/>
      <c r="C63" s="58" t="s">
        <v>741</v>
      </c>
      <c r="D63" s="181"/>
      <c r="E63" s="181"/>
      <c r="F63" s="182"/>
      <c r="G63" s="182"/>
      <c r="H63" s="182"/>
      <c r="I63" s="182"/>
      <c r="J63" s="182"/>
      <c r="K63" s="182"/>
      <c r="L63" s="181"/>
      <c r="M63" s="78"/>
    </row>
    <row r="64" spans="2:13" s="172" customFormat="1" x14ac:dyDescent="0.2">
      <c r="B64" s="989"/>
      <c r="C64" s="181"/>
      <c r="D64" s="181"/>
      <c r="E64" s="181"/>
      <c r="F64" s="182"/>
      <c r="G64" s="182"/>
      <c r="H64" s="182"/>
      <c r="I64" s="182"/>
      <c r="J64" s="182"/>
      <c r="K64" s="182"/>
      <c r="L64" s="181"/>
      <c r="M64" s="78"/>
    </row>
    <row r="65" spans="2:13" x14ac:dyDescent="0.2">
      <c r="B65" s="989"/>
      <c r="C65" s="656"/>
      <c r="D65" s="656"/>
      <c r="E65" s="656"/>
      <c r="F65" s="655"/>
      <c r="G65" s="655"/>
      <c r="H65" s="655"/>
      <c r="I65" s="655"/>
      <c r="J65" s="655"/>
      <c r="K65" s="655"/>
      <c r="L65" s="656"/>
      <c r="M65" s="78"/>
    </row>
    <row r="66" spans="2:13" x14ac:dyDescent="0.2">
      <c r="B66" s="989"/>
      <c r="C66" s="656"/>
      <c r="D66" s="656"/>
      <c r="E66" s="656"/>
      <c r="F66" s="655"/>
      <c r="G66" s="664" t="s">
        <v>551</v>
      </c>
      <c r="H66" s="664" t="s">
        <v>552</v>
      </c>
      <c r="I66" s="664" t="s">
        <v>551</v>
      </c>
      <c r="J66" s="664" t="s">
        <v>552</v>
      </c>
      <c r="K66" s="664" t="s">
        <v>553</v>
      </c>
      <c r="L66" s="656"/>
      <c r="M66" s="78"/>
    </row>
    <row r="67" spans="2:13" x14ac:dyDescent="0.2">
      <c r="B67" s="989"/>
      <c r="C67" s="656"/>
      <c r="D67" s="656"/>
      <c r="E67" s="656"/>
      <c r="F67" s="655"/>
      <c r="G67" s="664" t="s">
        <v>283</v>
      </c>
      <c r="H67" s="664" t="s">
        <v>283</v>
      </c>
      <c r="I67" s="664" t="s">
        <v>95</v>
      </c>
      <c r="J67" s="664" t="s">
        <v>95</v>
      </c>
      <c r="K67" s="664"/>
      <c r="L67" s="656"/>
      <c r="M67" s="78"/>
    </row>
    <row r="68" spans="2:13" x14ac:dyDescent="0.2">
      <c r="B68" s="989"/>
      <c r="C68" s="656"/>
      <c r="D68" s="1544" t="s">
        <v>565</v>
      </c>
      <c r="E68" s="656"/>
      <c r="F68" s="655"/>
      <c r="G68" s="655"/>
      <c r="H68" s="655"/>
      <c r="I68" s="655"/>
      <c r="J68" s="655"/>
      <c r="K68" s="655"/>
      <c r="L68" s="656"/>
      <c r="M68" s="78"/>
    </row>
    <row r="69" spans="2:13" x14ac:dyDescent="0.2">
      <c r="B69" s="989"/>
      <c r="C69" s="194"/>
      <c r="D69" s="111" t="s">
        <v>57</v>
      </c>
      <c r="E69" s="71"/>
      <c r="F69" s="536">
        <f>+F46</f>
        <v>0</v>
      </c>
      <c r="G69" s="577">
        <f>VLOOKUP(D69,rugzakpersLWOOPRO1415,4,FALSE)</f>
        <v>4630.8100000000004</v>
      </c>
      <c r="H69" s="577">
        <f>VLOOKUP(D69,rugzakpersLWOOPRO1415,7,FALSE)</f>
        <v>433</v>
      </c>
      <c r="I69" s="577">
        <f>+$F69*G69</f>
        <v>0</v>
      </c>
      <c r="J69" s="577">
        <f>+$F69*H69</f>
        <v>0</v>
      </c>
      <c r="K69" s="577">
        <f>SUM(I69:J69)</f>
        <v>0</v>
      </c>
      <c r="L69" s="656"/>
      <c r="M69" s="78"/>
    </row>
    <row r="70" spans="2:13" s="172" customFormat="1" x14ac:dyDescent="0.2">
      <c r="B70" s="989"/>
      <c r="C70" s="194"/>
      <c r="D70" s="111" t="s">
        <v>58</v>
      </c>
      <c r="E70" s="71"/>
      <c r="F70" s="536">
        <f>+F47</f>
        <v>0</v>
      </c>
      <c r="G70" s="577">
        <f>VLOOKUP(D70,rugzakpersLWOOPRO1415,4,FALSE)</f>
        <v>2994.96</v>
      </c>
      <c r="H70" s="577">
        <f>VLOOKUP(D70,rugzakpersLWOOPRO1415,7,FALSE)</f>
        <v>253</v>
      </c>
      <c r="I70" s="577">
        <f t="shared" ref="I70:I73" si="6">+$F70*G70</f>
        <v>0</v>
      </c>
      <c r="J70" s="577">
        <f t="shared" ref="J70:J73" si="7">+$F70*H70</f>
        <v>0</v>
      </c>
      <c r="K70" s="577">
        <f>SUM(I70:J70)</f>
        <v>0</v>
      </c>
      <c r="L70" s="656"/>
      <c r="M70" s="78"/>
    </row>
    <row r="71" spans="2:13" s="172" customFormat="1" x14ac:dyDescent="0.2">
      <c r="B71" s="989"/>
      <c r="C71" s="194"/>
      <c r="D71" s="111" t="s">
        <v>59</v>
      </c>
      <c r="E71" s="71"/>
      <c r="F71" s="536">
        <f>+F48</f>
        <v>0</v>
      </c>
      <c r="G71" s="577">
        <f>VLOOKUP(D71,rugzakpersLWOOPRO1415,4,FALSE)</f>
        <v>2994.96</v>
      </c>
      <c r="H71" s="577">
        <f>VLOOKUP(D71,rugzakpersLWOOPRO1415,7,FALSE)</f>
        <v>137</v>
      </c>
      <c r="I71" s="577">
        <f t="shared" si="6"/>
        <v>0</v>
      </c>
      <c r="J71" s="577">
        <f t="shared" si="7"/>
        <v>0</v>
      </c>
      <c r="K71" s="577">
        <f>SUM(I71:J71)</f>
        <v>0</v>
      </c>
      <c r="L71" s="656"/>
      <c r="M71" s="78"/>
    </row>
    <row r="72" spans="2:13" x14ac:dyDescent="0.2">
      <c r="B72" s="989"/>
      <c r="C72" s="194"/>
      <c r="D72" s="111" t="s">
        <v>385</v>
      </c>
      <c r="E72" s="71"/>
      <c r="F72" s="536">
        <f>+F50</f>
        <v>0</v>
      </c>
      <c r="G72" s="577">
        <f>VLOOKUP(D72,rugzakpersLWOOPRO1415,4,FALSE)</f>
        <v>2994.96</v>
      </c>
      <c r="H72" s="577">
        <f>VLOOKUP(D72,rugzakpersLWOOPRO1415,7,FALSE)</f>
        <v>253</v>
      </c>
      <c r="I72" s="577">
        <f t="shared" si="6"/>
        <v>0</v>
      </c>
      <c r="J72" s="577">
        <f t="shared" si="7"/>
        <v>0</v>
      </c>
      <c r="K72" s="577">
        <f>SUM(I72:J72)</f>
        <v>0</v>
      </c>
      <c r="L72" s="656"/>
      <c r="M72" s="78"/>
    </row>
    <row r="73" spans="2:13" x14ac:dyDescent="0.2">
      <c r="B73" s="989"/>
      <c r="C73" s="194"/>
      <c r="D73" s="111" t="s">
        <v>60</v>
      </c>
      <c r="E73" s="71"/>
      <c r="F73" s="536">
        <f>+F51</f>
        <v>0</v>
      </c>
      <c r="G73" s="577">
        <f>VLOOKUP(D73,rugzakpersLWOOPRO1415,4,FALSE)</f>
        <v>2994.96</v>
      </c>
      <c r="H73" s="577">
        <f>VLOOKUP(D73,rugzakpersLWOOPRO1415,7,FALSE)</f>
        <v>253</v>
      </c>
      <c r="I73" s="577">
        <f t="shared" si="6"/>
        <v>0</v>
      </c>
      <c r="J73" s="577">
        <f t="shared" si="7"/>
        <v>0</v>
      </c>
      <c r="K73" s="577">
        <f>SUM(I73:J73)</f>
        <v>0</v>
      </c>
      <c r="L73" s="656"/>
      <c r="M73" s="78"/>
    </row>
    <row r="74" spans="2:13" x14ac:dyDescent="0.2">
      <c r="B74" s="989"/>
      <c r="C74" s="194"/>
      <c r="D74" s="196" t="s">
        <v>380</v>
      </c>
      <c r="E74" s="1184"/>
      <c r="F74" s="858">
        <f>SUM(F69:F73)</f>
        <v>0</v>
      </c>
      <c r="G74" s="655"/>
      <c r="H74" s="655"/>
      <c r="I74" s="1185">
        <f>SUM(I69:I73)</f>
        <v>0</v>
      </c>
      <c r="J74" s="1185">
        <f>SUM(J69:J73)</f>
        <v>0</v>
      </c>
      <c r="K74" s="1185">
        <f>SUM(K69:K73)</f>
        <v>0</v>
      </c>
      <c r="L74" s="656"/>
      <c r="M74" s="78"/>
    </row>
    <row r="75" spans="2:13" x14ac:dyDescent="0.2">
      <c r="B75" s="989"/>
      <c r="C75" s="656"/>
      <c r="D75" s="656"/>
      <c r="E75" s="656"/>
      <c r="F75" s="655"/>
      <c r="G75" s="655"/>
      <c r="H75" s="655"/>
      <c r="I75" s="655"/>
      <c r="J75" s="655"/>
      <c r="K75" s="655"/>
      <c r="L75" s="656"/>
      <c r="M75" s="78"/>
    </row>
    <row r="76" spans="2:13" x14ac:dyDescent="0.2">
      <c r="B76" s="989"/>
      <c r="C76" s="656"/>
      <c r="D76" s="1544" t="s">
        <v>742</v>
      </c>
      <c r="E76" s="656"/>
      <c r="F76" s="927" t="s">
        <v>743</v>
      </c>
      <c r="G76" s="655"/>
      <c r="H76" s="1186" t="s">
        <v>744</v>
      </c>
      <c r="I76" s="1187"/>
      <c r="J76" s="1187"/>
      <c r="K76" s="1187"/>
      <c r="L76" s="656"/>
      <c r="M76" s="78"/>
    </row>
    <row r="77" spans="2:13" x14ac:dyDescent="0.2">
      <c r="B77" s="989"/>
      <c r="C77" s="656"/>
      <c r="D77" s="111" t="s">
        <v>57</v>
      </c>
      <c r="E77" s="656"/>
      <c r="F77" s="1188"/>
      <c r="G77" s="655"/>
      <c r="H77" s="1189">
        <f>+tab!E116</f>
        <v>662.22</v>
      </c>
      <c r="I77" s="928">
        <f>+F77*H77</f>
        <v>0</v>
      </c>
      <c r="J77" s="1190"/>
      <c r="K77" s="928">
        <f>+I77</f>
        <v>0</v>
      </c>
      <c r="L77" s="656"/>
      <c r="M77" s="78"/>
    </row>
    <row r="78" spans="2:13" x14ac:dyDescent="0.2">
      <c r="B78" s="989"/>
      <c r="C78" s="656"/>
      <c r="D78" s="111" t="s">
        <v>58</v>
      </c>
      <c r="E78" s="656"/>
      <c r="F78" s="1188"/>
      <c r="G78" s="655"/>
      <c r="H78" s="1189">
        <f>+tab!E117</f>
        <v>0</v>
      </c>
      <c r="I78" s="928">
        <f t="shared" ref="I78:I81" si="8">+F78*H78</f>
        <v>0</v>
      </c>
      <c r="J78" s="1190"/>
      <c r="K78" s="928">
        <f t="shared" ref="K78:K81" si="9">+I78</f>
        <v>0</v>
      </c>
      <c r="L78" s="656"/>
      <c r="M78" s="78"/>
    </row>
    <row r="79" spans="2:13" s="172" customFormat="1" x14ac:dyDescent="0.2">
      <c r="B79" s="989"/>
      <c r="C79" s="656"/>
      <c r="D79" s="111" t="s">
        <v>59</v>
      </c>
      <c r="E79" s="656"/>
      <c r="F79" s="1188"/>
      <c r="G79" s="655"/>
      <c r="H79" s="1189">
        <f>+tab!E118</f>
        <v>0</v>
      </c>
      <c r="I79" s="928">
        <f t="shared" si="8"/>
        <v>0</v>
      </c>
      <c r="J79" s="1190"/>
      <c r="K79" s="928">
        <f t="shared" si="9"/>
        <v>0</v>
      </c>
      <c r="L79" s="656"/>
      <c r="M79" s="78"/>
    </row>
    <row r="80" spans="2:13" x14ac:dyDescent="0.2">
      <c r="B80" s="989"/>
      <c r="C80" s="656"/>
      <c r="D80" s="111" t="s">
        <v>385</v>
      </c>
      <c r="E80" s="656"/>
      <c r="F80" s="1188"/>
      <c r="G80" s="655"/>
      <c r="H80" s="1189">
        <f>+tab!E119</f>
        <v>315.64</v>
      </c>
      <c r="I80" s="928">
        <f t="shared" si="8"/>
        <v>0</v>
      </c>
      <c r="J80" s="1190"/>
      <c r="K80" s="928">
        <f t="shared" si="9"/>
        <v>0</v>
      </c>
      <c r="L80" s="656"/>
      <c r="M80" s="78"/>
    </row>
    <row r="81" spans="2:13" x14ac:dyDescent="0.2">
      <c r="B81" s="989"/>
      <c r="C81" s="656"/>
      <c r="D81" s="111" t="s">
        <v>60</v>
      </c>
      <c r="E81" s="656"/>
      <c r="F81" s="1188"/>
      <c r="G81" s="655"/>
      <c r="H81" s="1189">
        <f>+tab!E120</f>
        <v>0</v>
      </c>
      <c r="I81" s="928">
        <f t="shared" si="8"/>
        <v>0</v>
      </c>
      <c r="J81" s="1190"/>
      <c r="K81" s="928">
        <f t="shared" si="9"/>
        <v>0</v>
      </c>
      <c r="L81" s="656"/>
      <c r="M81" s="78"/>
    </row>
    <row r="82" spans="2:13" x14ac:dyDescent="0.2">
      <c r="B82" s="989"/>
      <c r="C82" s="656"/>
      <c r="D82" s="114" t="s">
        <v>380</v>
      </c>
      <c r="E82" s="656"/>
      <c r="F82" s="1191">
        <f>SUM(F77:F81)</f>
        <v>0</v>
      </c>
      <c r="G82" s="655"/>
      <c r="H82" s="655"/>
      <c r="I82" s="1199">
        <f>SUM(I77:I81)</f>
        <v>0</v>
      </c>
      <c r="J82" s="1190"/>
      <c r="K82" s="1199">
        <f>SUM(K77:K81)</f>
        <v>0</v>
      </c>
      <c r="L82" s="656"/>
      <c r="M82" s="78"/>
    </row>
    <row r="83" spans="2:13" x14ac:dyDescent="0.2">
      <c r="B83" s="989"/>
      <c r="C83" s="656"/>
      <c r="D83" s="114"/>
      <c r="E83" s="656"/>
      <c r="F83" s="1192"/>
      <c r="G83" s="1193"/>
      <c r="H83" s="1193"/>
      <c r="I83" s="1187"/>
      <c r="J83" s="1187"/>
      <c r="K83" s="1187"/>
      <c r="L83" s="656"/>
      <c r="M83" s="78"/>
    </row>
    <row r="84" spans="2:13" x14ac:dyDescent="0.2">
      <c r="B84" s="989"/>
      <c r="C84" s="656"/>
      <c r="D84" s="739"/>
      <c r="E84" s="656"/>
      <c r="F84" s="1194" t="s">
        <v>745</v>
      </c>
      <c r="G84" s="655"/>
      <c r="H84" s="655"/>
      <c r="I84" s="655"/>
      <c r="J84" s="655"/>
      <c r="K84" s="655"/>
      <c r="L84" s="656"/>
      <c r="M84" s="78"/>
    </row>
    <row r="85" spans="2:13" s="172" customFormat="1" x14ac:dyDescent="0.2">
      <c r="B85" s="989"/>
      <c r="C85" s="656"/>
      <c r="D85" s="1544" t="s">
        <v>746</v>
      </c>
      <c r="E85" s="656"/>
      <c r="F85" s="1195">
        <f>+F74</f>
        <v>0</v>
      </c>
      <c r="G85" s="1196">
        <f>+tab!E82</f>
        <v>180.37</v>
      </c>
      <c r="H85" s="655"/>
      <c r="I85" s="888">
        <f>+F85*G85</f>
        <v>0</v>
      </c>
      <c r="J85" s="655"/>
      <c r="K85" s="888">
        <f>SUM(I85:J85)</f>
        <v>0</v>
      </c>
      <c r="L85" s="656"/>
      <c r="M85" s="78"/>
    </row>
    <row r="86" spans="2:13" x14ac:dyDescent="0.2">
      <c r="B86" s="989"/>
      <c r="C86" s="656"/>
      <c r="D86" s="1545"/>
      <c r="E86" s="656"/>
      <c r="F86" s="655"/>
      <c r="G86" s="655"/>
      <c r="H86" s="655"/>
      <c r="I86" s="655"/>
      <c r="J86" s="655"/>
      <c r="K86" s="655"/>
      <c r="L86" s="656"/>
      <c r="M86" s="78"/>
    </row>
    <row r="87" spans="2:13" x14ac:dyDescent="0.2">
      <c r="B87" s="989"/>
      <c r="C87" s="656"/>
      <c r="D87" s="1544" t="s">
        <v>747</v>
      </c>
      <c r="E87" s="656"/>
      <c r="F87" s="655"/>
      <c r="G87" s="655"/>
      <c r="H87" s="655"/>
      <c r="I87" s="1636">
        <f>+I74+I82+I85</f>
        <v>0</v>
      </c>
      <c r="J87" s="888">
        <f>+J74</f>
        <v>0</v>
      </c>
      <c r="K87" s="888">
        <f>+K74+K82+K85</f>
        <v>0</v>
      </c>
      <c r="L87" s="656"/>
      <c r="M87" s="78"/>
    </row>
    <row r="88" spans="2:13" x14ac:dyDescent="0.2">
      <c r="B88" s="989"/>
      <c r="C88" s="656"/>
      <c r="D88" s="1605" t="s">
        <v>951</v>
      </c>
      <c r="E88" s="656"/>
      <c r="F88" s="1638">
        <v>3.6769999999999997E-2</v>
      </c>
      <c r="G88" s="655"/>
      <c r="H88" s="655"/>
      <c r="I88" s="1636">
        <f>I87*(1+F88)</f>
        <v>0</v>
      </c>
      <c r="J88" s="655"/>
      <c r="K88" s="655"/>
      <c r="L88" s="656"/>
      <c r="M88" s="78"/>
    </row>
    <row r="89" spans="2:13" x14ac:dyDescent="0.2">
      <c r="B89" s="989"/>
      <c r="C89" s="656"/>
      <c r="D89" s="656"/>
      <c r="E89" s="656"/>
      <c r="F89" s="655"/>
      <c r="G89" s="655"/>
      <c r="H89" s="655"/>
      <c r="I89" s="655"/>
      <c r="J89" s="655"/>
      <c r="K89" s="655"/>
      <c r="L89" s="656"/>
      <c r="M89" s="78"/>
    </row>
    <row r="90" spans="2:13" x14ac:dyDescent="0.2">
      <c r="B90" s="989"/>
      <c r="C90" s="1197"/>
      <c r="D90" s="1197"/>
      <c r="E90" s="1197"/>
      <c r="F90" s="1198"/>
      <c r="G90" s="1198"/>
      <c r="H90" s="1198"/>
      <c r="I90" s="1198"/>
      <c r="J90" s="1198"/>
      <c r="K90" s="1198"/>
      <c r="L90" s="1197"/>
      <c r="M90" s="78"/>
    </row>
    <row r="91" spans="2:13" s="172" customFormat="1" ht="15" x14ac:dyDescent="0.25">
      <c r="B91" s="578"/>
      <c r="C91" s="579"/>
      <c r="D91" s="580"/>
      <c r="E91" s="579"/>
      <c r="F91" s="581"/>
      <c r="G91" s="581"/>
      <c r="H91" s="581"/>
      <c r="I91" s="581"/>
      <c r="J91" s="581"/>
      <c r="K91" s="581"/>
      <c r="L91" s="654" t="s">
        <v>429</v>
      </c>
      <c r="M91" s="85"/>
    </row>
    <row r="93" spans="2:13" x14ac:dyDescent="0.2">
      <c r="B93" s="172"/>
      <c r="C93" s="172"/>
      <c r="D93" s="172"/>
      <c r="E93" s="172"/>
      <c r="F93" s="172"/>
      <c r="G93" s="172"/>
      <c r="H93" s="172"/>
      <c r="I93" s="172"/>
      <c r="J93" s="172"/>
      <c r="K93" s="172"/>
    </row>
    <row r="97" spans="2:11" s="172" customFormat="1" x14ac:dyDescent="0.2">
      <c r="B97" s="165"/>
      <c r="C97" s="165"/>
      <c r="D97" s="165"/>
      <c r="E97" s="165"/>
      <c r="F97" s="165"/>
      <c r="G97" s="165"/>
      <c r="H97" s="165"/>
      <c r="I97" s="165"/>
      <c r="J97" s="165"/>
      <c r="K97" s="165"/>
    </row>
    <row r="99" spans="2:11" x14ac:dyDescent="0.2">
      <c r="B99" s="172"/>
      <c r="C99" s="172"/>
      <c r="D99" s="172"/>
      <c r="E99" s="172"/>
      <c r="F99" s="172"/>
      <c r="G99" s="172"/>
      <c r="H99" s="172"/>
      <c r="I99" s="172"/>
      <c r="J99" s="172"/>
      <c r="K99" s="172"/>
    </row>
    <row r="105" spans="2:11" x14ac:dyDescent="0.2">
      <c r="B105" s="172"/>
      <c r="C105" s="172"/>
      <c r="D105" s="172"/>
      <c r="E105" s="172"/>
      <c r="F105" s="172"/>
      <c r="G105" s="172"/>
      <c r="H105" s="172"/>
      <c r="I105" s="172"/>
      <c r="J105" s="172"/>
      <c r="K105" s="172"/>
    </row>
    <row r="118" spans="2:11" x14ac:dyDescent="0.2">
      <c r="B118" s="172"/>
      <c r="C118" s="172"/>
      <c r="D118" s="172"/>
      <c r="E118" s="172"/>
      <c r="F118" s="172"/>
      <c r="G118" s="172"/>
      <c r="H118" s="172"/>
      <c r="I118" s="172"/>
      <c r="J118" s="172"/>
      <c r="K118" s="172"/>
    </row>
    <row r="124" spans="2:11" x14ac:dyDescent="0.2">
      <c r="B124" s="172"/>
      <c r="C124" s="172"/>
      <c r="D124" s="172"/>
      <c r="E124" s="172"/>
      <c r="F124" s="172"/>
      <c r="G124" s="172"/>
      <c r="H124" s="172"/>
      <c r="I124" s="172"/>
      <c r="J124" s="172"/>
      <c r="K124" s="172"/>
    </row>
    <row r="130" spans="2:11" x14ac:dyDescent="0.2">
      <c r="B130" s="172"/>
      <c r="C130" s="172"/>
      <c r="D130" s="172"/>
      <c r="E130" s="172"/>
      <c r="F130" s="172"/>
      <c r="G130" s="172"/>
      <c r="H130" s="172"/>
      <c r="I130" s="172"/>
      <c r="J130" s="172"/>
      <c r="K130" s="172"/>
    </row>
    <row r="136" spans="2:11" x14ac:dyDescent="0.2">
      <c r="B136" s="172"/>
      <c r="C136" s="172"/>
      <c r="D136" s="172"/>
      <c r="E136" s="172"/>
      <c r="F136" s="172"/>
      <c r="G136" s="172"/>
      <c r="H136" s="172"/>
      <c r="I136" s="172"/>
      <c r="J136" s="172"/>
      <c r="K136" s="172"/>
    </row>
    <row r="142" spans="2:11" x14ac:dyDescent="0.2">
      <c r="B142" s="172"/>
      <c r="C142" s="172"/>
      <c r="D142" s="172"/>
      <c r="E142" s="172"/>
      <c r="F142" s="172"/>
      <c r="G142" s="172"/>
      <c r="H142" s="172"/>
      <c r="I142" s="172"/>
      <c r="J142" s="172"/>
      <c r="K142" s="172"/>
    </row>
    <row r="148" spans="2:11" x14ac:dyDescent="0.2">
      <c r="B148" s="172"/>
      <c r="C148" s="172"/>
      <c r="D148" s="172"/>
      <c r="E148" s="172"/>
      <c r="F148" s="172"/>
      <c r="G148" s="172"/>
      <c r="H148" s="172"/>
      <c r="I148" s="172"/>
      <c r="J148" s="172"/>
      <c r="K148" s="172"/>
    </row>
  </sheetData>
  <sheetProtection algorithmName="SHA-512" hashValue="BYACKdxPzFb4xesQvEDVcePsP1N27770g1Xo+RJNzt9Nq3uzObVE0z+07s9VjSWX9I7P8Tw4ptfojTwRNokm/A==" saltValue="zDxnMd3Wgev/XCDkT6wtPQ==" spinCount="100000" sheet="1" objects="1" scenarios="1"/>
  <phoneticPr fontId="83" type="noConversion"/>
  <pageMargins left="0.75" right="0.75" top="1" bottom="1" header="0.5" footer="0.5"/>
  <pageSetup paperSize="9" scale="58" orientation="portrait" r:id="rId1"/>
  <headerFooter alignWithMargins="0">
    <oddHeader>&amp;L&amp;"Arial,Vet"&amp;9&amp;F&amp;R&amp;"Arial,Vet"&amp;9&amp;A</oddHeader>
    <oddFooter>&amp;L&amp;"Arial,Vet"&amp;9be.keizer@wxs.nl&amp;C&amp;"Arial,Vet"&amp;9pagina &amp;P&amp;R&amp;"Arial,Vet"&amp;9&amp;D</oddFooter>
  </headerFooter>
  <colBreaks count="1" manualBreakCount="1">
    <brk id="1" min="1" max="87"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11"/>
  <sheetViews>
    <sheetView showGridLines="0" zoomScale="80" zoomScaleNormal="80" zoomScaleSheetLayoutView="85" workbookViewId="0">
      <selection activeCell="B2" sqref="B2"/>
    </sheetView>
  </sheetViews>
  <sheetFormatPr defaultRowHeight="12.75" x14ac:dyDescent="0.2"/>
  <cols>
    <col min="1" max="1" width="3.7109375" style="165" customWidth="1"/>
    <col min="2" max="3" width="2.7109375" style="165" customWidth="1"/>
    <col min="4" max="4" width="51.5703125" style="165" customWidth="1"/>
    <col min="5" max="5" width="0.85546875" style="165" customWidth="1"/>
    <col min="6" max="6" width="10.28515625" style="173" customWidth="1"/>
    <col min="7" max="7" width="1.28515625" style="173" customWidth="1"/>
    <col min="8" max="13" width="14.85546875" style="173" customWidth="1"/>
    <col min="14" max="16" width="2.7109375" style="165" customWidth="1"/>
    <col min="17" max="21" width="14.85546875" style="165" customWidth="1"/>
    <col min="22" max="16384" width="9.140625" style="165"/>
  </cols>
  <sheetData>
    <row r="2" spans="2:15" x14ac:dyDescent="0.2">
      <c r="B2" s="18"/>
      <c r="C2" s="19"/>
      <c r="D2" s="19"/>
      <c r="E2" s="19"/>
      <c r="F2" s="174"/>
      <c r="G2" s="174"/>
      <c r="H2" s="174"/>
      <c r="I2" s="174"/>
      <c r="J2" s="174"/>
      <c r="K2" s="174"/>
      <c r="L2" s="174"/>
      <c r="M2" s="174"/>
      <c r="N2" s="19"/>
      <c r="O2" s="20"/>
    </row>
    <row r="3" spans="2:15" x14ac:dyDescent="0.2">
      <c r="B3" s="21"/>
      <c r="C3" s="22"/>
      <c r="D3" s="23"/>
      <c r="E3" s="22"/>
      <c r="F3" s="24"/>
      <c r="G3" s="24"/>
      <c r="H3" s="24"/>
      <c r="I3" s="24"/>
      <c r="J3" s="24"/>
      <c r="K3" s="24"/>
      <c r="L3" s="24"/>
      <c r="M3" s="24"/>
      <c r="N3" s="22"/>
      <c r="O3" s="25"/>
    </row>
    <row r="4" spans="2:15" s="168" customFormat="1" ht="18.75" x14ac:dyDescent="0.3">
      <c r="B4" s="175"/>
      <c r="C4" s="620" t="s">
        <v>37</v>
      </c>
      <c r="D4" s="177"/>
      <c r="E4" s="177"/>
      <c r="F4" s="178"/>
      <c r="G4" s="178"/>
      <c r="H4" s="178"/>
      <c r="I4" s="178"/>
      <c r="J4" s="178"/>
      <c r="K4" s="178"/>
      <c r="L4" s="178"/>
      <c r="M4" s="178"/>
      <c r="N4" s="177"/>
      <c r="O4" s="179"/>
    </row>
    <row r="5" spans="2:15" s="169" customFormat="1" ht="18.75" x14ac:dyDescent="0.3">
      <c r="B5" s="26"/>
      <c r="C5" s="406" t="str">
        <f>+'geg LO'!C5</f>
        <v xml:space="preserve">SWV VO </v>
      </c>
      <c r="D5" s="27"/>
      <c r="E5" s="27"/>
      <c r="F5" s="180"/>
      <c r="G5" s="180"/>
      <c r="H5" s="180"/>
      <c r="I5" s="180"/>
      <c r="J5" s="180"/>
      <c r="K5" s="180"/>
      <c r="L5" s="180"/>
      <c r="M5" s="180"/>
      <c r="N5" s="27"/>
      <c r="O5" s="28"/>
    </row>
    <row r="6" spans="2:15" x14ac:dyDescent="0.2">
      <c r="B6" s="21"/>
      <c r="C6" s="22"/>
      <c r="D6" s="23"/>
      <c r="E6" s="22"/>
      <c r="F6" s="24"/>
      <c r="G6" s="24"/>
      <c r="H6" s="24"/>
      <c r="I6" s="24"/>
      <c r="J6" s="24"/>
      <c r="K6" s="24"/>
      <c r="L6" s="24"/>
      <c r="M6" s="24"/>
      <c r="N6" s="22"/>
      <c r="O6" s="25"/>
    </row>
    <row r="7" spans="2:15" x14ac:dyDescent="0.2">
      <c r="B7" s="21"/>
      <c r="C7" s="22"/>
      <c r="D7" s="23"/>
      <c r="E7" s="22"/>
      <c r="F7" s="24"/>
      <c r="G7" s="24"/>
      <c r="H7" s="24"/>
      <c r="I7" s="24"/>
      <c r="J7" s="24"/>
      <c r="K7" s="24"/>
      <c r="L7" s="24"/>
      <c r="M7" s="24"/>
      <c r="N7" s="22"/>
      <c r="O7" s="25"/>
    </row>
    <row r="8" spans="2:15" s="213" customFormat="1" x14ac:dyDescent="0.2">
      <c r="B8" s="215"/>
      <c r="C8" s="216"/>
      <c r="D8" s="629" t="s">
        <v>163</v>
      </c>
      <c r="E8" s="610"/>
      <c r="F8" s="628"/>
      <c r="G8" s="628"/>
      <c r="H8" s="630">
        <f>tab!E4</f>
        <v>2015</v>
      </c>
      <c r="I8" s="630">
        <f>tab!F4</f>
        <v>2016</v>
      </c>
      <c r="J8" s="630">
        <f>tab!G4</f>
        <v>2017</v>
      </c>
      <c r="K8" s="630">
        <f>tab!H4</f>
        <v>2018</v>
      </c>
      <c r="L8" s="630">
        <f>tab!I4</f>
        <v>2019</v>
      </c>
      <c r="M8" s="630">
        <f>tab!J4</f>
        <v>2020</v>
      </c>
      <c r="N8" s="216"/>
      <c r="O8" s="217"/>
    </row>
    <row r="9" spans="2:15" x14ac:dyDescent="0.2">
      <c r="B9" s="21"/>
      <c r="C9" s="22"/>
      <c r="D9" s="23"/>
      <c r="E9" s="22"/>
      <c r="F9" s="24"/>
      <c r="G9" s="24"/>
      <c r="H9" s="22"/>
      <c r="I9" s="22"/>
      <c r="J9" s="22"/>
      <c r="K9" s="22"/>
      <c r="L9" s="22"/>
      <c r="M9" s="22"/>
      <c r="N9" s="22"/>
      <c r="O9" s="25"/>
    </row>
    <row r="10" spans="2:15" x14ac:dyDescent="0.2">
      <c r="B10" s="21"/>
      <c r="C10" s="35"/>
      <c r="D10" s="37"/>
      <c r="E10" s="35"/>
      <c r="F10" s="186"/>
      <c r="G10" s="186"/>
      <c r="H10" s="186"/>
      <c r="I10" s="186"/>
      <c r="J10" s="186"/>
      <c r="K10" s="186"/>
      <c r="L10" s="186"/>
      <c r="M10" s="186"/>
      <c r="N10" s="35"/>
      <c r="O10" s="25"/>
    </row>
    <row r="11" spans="2:15" x14ac:dyDescent="0.2">
      <c r="B11" s="21"/>
      <c r="C11" s="35"/>
      <c r="D11" s="604" t="s">
        <v>33</v>
      </c>
      <c r="E11" s="35"/>
      <c r="F11" s="186"/>
      <c r="G11" s="186"/>
      <c r="H11" s="186"/>
      <c r="I11" s="186"/>
      <c r="J11" s="186"/>
      <c r="K11" s="186"/>
      <c r="L11" s="186"/>
      <c r="M11" s="186"/>
      <c r="N11" s="35"/>
      <c r="O11" s="25"/>
    </row>
    <row r="12" spans="2:15" x14ac:dyDescent="0.2">
      <c r="B12" s="21"/>
      <c r="C12" s="35"/>
      <c r="D12" s="37"/>
      <c r="E12" s="35"/>
      <c r="F12" s="186"/>
      <c r="G12" s="186"/>
      <c r="H12" s="186"/>
      <c r="I12" s="186"/>
      <c r="J12" s="186"/>
      <c r="K12" s="186"/>
      <c r="L12" s="186"/>
      <c r="M12" s="186"/>
      <c r="N12" s="35"/>
      <c r="O12" s="25"/>
    </row>
    <row r="13" spans="2:15" ht="15.75" x14ac:dyDescent="0.25">
      <c r="B13" s="21"/>
      <c r="C13" s="35"/>
      <c r="D13" s="1269" t="s">
        <v>63</v>
      </c>
      <c r="E13" s="35"/>
      <c r="F13" s="186"/>
      <c r="G13" s="186"/>
      <c r="H13" s="186"/>
      <c r="I13" s="186"/>
      <c r="J13" s="186"/>
      <c r="K13" s="186"/>
      <c r="L13" s="186"/>
      <c r="M13" s="186"/>
      <c r="N13" s="35"/>
      <c r="O13" s="25"/>
    </row>
    <row r="14" spans="2:15" x14ac:dyDescent="0.2">
      <c r="B14" s="21"/>
      <c r="C14" s="35"/>
      <c r="D14" s="38" t="s">
        <v>251</v>
      </c>
      <c r="E14" s="35"/>
      <c r="F14" s="186"/>
      <c r="G14" s="186"/>
      <c r="H14" s="186"/>
      <c r="I14" s="186"/>
      <c r="J14" s="186"/>
      <c r="K14" s="186"/>
      <c r="L14" s="186"/>
      <c r="M14" s="186"/>
      <c r="N14" s="35"/>
      <c r="O14" s="25"/>
    </row>
    <row r="15" spans="2:15" x14ac:dyDescent="0.2">
      <c r="B15" s="936"/>
      <c r="C15" s="35"/>
      <c r="D15" s="191" t="s">
        <v>892</v>
      </c>
      <c r="E15" s="35"/>
      <c r="F15" s="186"/>
      <c r="G15" s="186"/>
      <c r="H15" s="906">
        <f>+'geg LO'!G24*tab!E15</f>
        <v>0</v>
      </c>
      <c r="I15" s="906">
        <f>+'geg LO'!H24*tab!F15</f>
        <v>0</v>
      </c>
      <c r="J15" s="906">
        <f>+'geg LO'!I24*tab!G15</f>
        <v>0</v>
      </c>
      <c r="K15" s="906">
        <f>+'geg LO'!J24*tab!H15</f>
        <v>0</v>
      </c>
      <c r="L15" s="906">
        <f>+'geg LO'!K24*tab!I15</f>
        <v>0</v>
      </c>
      <c r="M15" s="906">
        <f>+'geg LO'!L24*tab!J15</f>
        <v>0</v>
      </c>
      <c r="N15" s="35"/>
      <c r="O15" s="25"/>
    </row>
    <row r="16" spans="2:15" x14ac:dyDescent="0.2">
      <c r="B16" s="936"/>
      <c r="C16" s="35"/>
      <c r="D16" s="191" t="s">
        <v>708</v>
      </c>
      <c r="E16" s="35"/>
      <c r="F16" s="186"/>
      <c r="G16" s="186"/>
      <c r="H16" s="906">
        <f>+tab!E20</f>
        <v>0</v>
      </c>
      <c r="I16" s="906">
        <f>+tab!F20</f>
        <v>0</v>
      </c>
      <c r="J16" s="933"/>
      <c r="K16" s="933"/>
      <c r="L16" s="933"/>
      <c r="M16" s="933"/>
      <c r="N16" s="35"/>
      <c r="O16" s="25"/>
    </row>
    <row r="17" spans="2:15" x14ac:dyDescent="0.2">
      <c r="B17" s="21"/>
      <c r="C17" s="35"/>
      <c r="D17" s="199" t="s">
        <v>724</v>
      </c>
      <c r="E17" s="35"/>
      <c r="F17" s="186"/>
      <c r="G17" s="186"/>
      <c r="H17" s="546">
        <f t="shared" ref="H17:M17" si="0">SUM(H15:H16)</f>
        <v>0</v>
      </c>
      <c r="I17" s="546">
        <f t="shared" si="0"/>
        <v>0</v>
      </c>
      <c r="J17" s="546">
        <f t="shared" si="0"/>
        <v>0</v>
      </c>
      <c r="K17" s="546">
        <f t="shared" si="0"/>
        <v>0</v>
      </c>
      <c r="L17" s="546">
        <f t="shared" si="0"/>
        <v>0</v>
      </c>
      <c r="M17" s="546">
        <f t="shared" si="0"/>
        <v>0</v>
      </c>
      <c r="N17" s="35"/>
      <c r="O17" s="25"/>
    </row>
    <row r="18" spans="2:15" x14ac:dyDescent="0.2">
      <c r="B18" s="936"/>
      <c r="C18" s="35"/>
      <c r="D18" s="37"/>
      <c r="E18" s="35"/>
      <c r="F18" s="186"/>
      <c r="G18" s="166"/>
      <c r="H18" s="1160"/>
      <c r="I18" s="1160"/>
      <c r="J18" s="1160"/>
      <c r="K18" s="1160"/>
      <c r="L18" s="1160"/>
      <c r="M18" s="1160"/>
      <c r="N18" s="35"/>
      <c r="O18" s="895"/>
    </row>
    <row r="19" spans="2:15" x14ac:dyDescent="0.2">
      <c r="B19" s="936"/>
      <c r="C19" s="35"/>
      <c r="D19" s="199" t="s">
        <v>923</v>
      </c>
      <c r="E19" s="35"/>
      <c r="F19" s="186"/>
      <c r="G19" s="186"/>
      <c r="H19" s="1161"/>
      <c r="I19" s="1162">
        <f>IF('geg LO'!H32=0,0,+'geg LO'!H32*tab!F$23)</f>
        <v>0</v>
      </c>
      <c r="J19" s="1162">
        <f>+'geg LO'!I32*tab!G$23</f>
        <v>0</v>
      </c>
      <c r="K19" s="1162">
        <f>+'geg LO'!J32*tab!H$23</f>
        <v>0</v>
      </c>
      <c r="L19" s="1162">
        <f>+'geg LO'!K32*tab!I$23</f>
        <v>0</v>
      </c>
      <c r="M19" s="1162">
        <f>+'geg LO'!L32*tab!J$23</f>
        <v>0</v>
      </c>
      <c r="N19" s="35"/>
      <c r="O19" s="895"/>
    </row>
    <row r="20" spans="2:15" x14ac:dyDescent="0.2">
      <c r="B20" s="936"/>
      <c r="C20" s="35"/>
      <c r="D20" s="199" t="s">
        <v>924</v>
      </c>
      <c r="E20" s="35"/>
      <c r="F20" s="186"/>
      <c r="G20" s="186"/>
      <c r="H20" s="1161"/>
      <c r="I20" s="1162">
        <f>+'geg LO'!H33*tab!F$23</f>
        <v>0</v>
      </c>
      <c r="J20" s="1162">
        <f>+'geg LO'!I33*tab!G$23</f>
        <v>0</v>
      </c>
      <c r="K20" s="1162">
        <f>+'geg LO'!J33*tab!H$23</f>
        <v>0</v>
      </c>
      <c r="L20" s="1162">
        <f>+'geg LO'!K33*tab!I$23</f>
        <v>0</v>
      </c>
      <c r="M20" s="1162">
        <f>+'geg LO'!L33*tab!J$23</f>
        <v>0</v>
      </c>
      <c r="N20" s="35"/>
      <c r="O20" s="895"/>
    </row>
    <row r="21" spans="2:15" x14ac:dyDescent="0.2">
      <c r="B21" s="936"/>
      <c r="C21" s="35"/>
      <c r="D21" s="199" t="s">
        <v>936</v>
      </c>
      <c r="E21" s="35"/>
      <c r="F21" s="186"/>
      <c r="G21" s="166"/>
      <c r="H21" s="1221"/>
      <c r="I21" s="1222">
        <f>-'LWOO-PRO'!O21</f>
        <v>0</v>
      </c>
      <c r="J21" s="1222">
        <f>-'LWOO-PRO'!P21</f>
        <v>0</v>
      </c>
      <c r="K21" s="1222">
        <f>-'LWOO-PRO'!Q21</f>
        <v>0</v>
      </c>
      <c r="L21" s="1222">
        <f>-'LWOO-PRO'!R21</f>
        <v>0</v>
      </c>
      <c r="M21" s="1222">
        <f>-'LWOO-PRO'!S21</f>
        <v>0</v>
      </c>
      <c r="N21" s="35"/>
      <c r="O21" s="895"/>
    </row>
    <row r="22" spans="2:15" x14ac:dyDescent="0.2">
      <c r="B22" s="936"/>
      <c r="C22" s="35"/>
      <c r="D22" s="199"/>
      <c r="E22" s="35"/>
      <c r="F22" s="186"/>
      <c r="G22" s="166"/>
      <c r="H22" s="1160"/>
      <c r="I22" s="1160"/>
      <c r="J22" s="1160"/>
      <c r="K22" s="1160"/>
      <c r="L22" s="1160"/>
      <c r="M22" s="1160"/>
      <c r="N22" s="35"/>
      <c r="O22" s="895"/>
    </row>
    <row r="23" spans="2:15" x14ac:dyDescent="0.2">
      <c r="B23" s="936"/>
      <c r="C23" s="35"/>
      <c r="D23" s="199" t="s">
        <v>898</v>
      </c>
      <c r="E23" s="35"/>
      <c r="F23" s="186"/>
      <c r="G23" s="166"/>
      <c r="H23" s="1160"/>
      <c r="I23" s="1160"/>
      <c r="J23" s="1160"/>
      <c r="K23" s="1160"/>
      <c r="L23" s="1160"/>
      <c r="M23" s="1160"/>
      <c r="N23" s="35"/>
      <c r="O23" s="25"/>
    </row>
    <row r="24" spans="2:15" x14ac:dyDescent="0.2">
      <c r="B24" s="936"/>
      <c r="C24" s="35"/>
      <c r="D24" s="199" t="s">
        <v>899</v>
      </c>
      <c r="E24" s="35"/>
      <c r="F24" s="186"/>
      <c r="G24" s="186"/>
      <c r="H24" s="1229">
        <f>+H17</f>
        <v>0</v>
      </c>
      <c r="I24" s="1229">
        <f>+I17+I19+I20+I21</f>
        <v>0</v>
      </c>
      <c r="J24" s="1229">
        <f t="shared" ref="J24:M24" si="1">+J17+J19+J20+J21</f>
        <v>0</v>
      </c>
      <c r="K24" s="1229">
        <f t="shared" si="1"/>
        <v>0</v>
      </c>
      <c r="L24" s="1229">
        <f t="shared" si="1"/>
        <v>0</v>
      </c>
      <c r="M24" s="1229">
        <f t="shared" si="1"/>
        <v>0</v>
      </c>
      <c r="N24" s="35"/>
      <c r="O24" s="25"/>
    </row>
    <row r="25" spans="2:15" x14ac:dyDescent="0.2">
      <c r="B25" s="936"/>
      <c r="C25" s="35"/>
      <c r="D25" s="37"/>
      <c r="E25" s="35"/>
      <c r="F25" s="186"/>
      <c r="G25" s="166"/>
      <c r="H25" s="1160"/>
      <c r="I25" s="1160"/>
      <c r="J25" s="1160"/>
      <c r="K25" s="1160"/>
      <c r="L25" s="1160"/>
      <c r="M25" s="1160"/>
      <c r="N25" s="35"/>
      <c r="O25" s="25"/>
    </row>
    <row r="26" spans="2:15" x14ac:dyDescent="0.2">
      <c r="B26" s="21"/>
      <c r="C26" s="35"/>
      <c r="D26" s="38" t="s">
        <v>905</v>
      </c>
      <c r="E26" s="35"/>
      <c r="F26" s="186"/>
      <c r="G26" s="186"/>
      <c r="H26" s="957">
        <f t="shared" ref="H26:M26" si="2">+H8</f>
        <v>2015</v>
      </c>
      <c r="I26" s="957">
        <f t="shared" si="2"/>
        <v>2016</v>
      </c>
      <c r="J26" s="957">
        <f t="shared" si="2"/>
        <v>2017</v>
      </c>
      <c r="K26" s="957">
        <f t="shared" si="2"/>
        <v>2018</v>
      </c>
      <c r="L26" s="957">
        <f t="shared" si="2"/>
        <v>2019</v>
      </c>
      <c r="M26" s="957">
        <f t="shared" si="2"/>
        <v>2020</v>
      </c>
      <c r="N26" s="35"/>
      <c r="O26" s="25"/>
    </row>
    <row r="27" spans="2:15" x14ac:dyDescent="0.2">
      <c r="B27" s="936"/>
      <c r="C27" s="35"/>
      <c r="D27" s="38"/>
      <c r="E27" s="35"/>
      <c r="F27" s="186"/>
      <c r="G27" s="186"/>
      <c r="H27" s="186"/>
      <c r="I27" s="186"/>
      <c r="J27" s="186"/>
      <c r="K27" s="186"/>
      <c r="L27" s="186"/>
      <c r="M27" s="186"/>
      <c r="N27" s="35"/>
      <c r="O27" s="25"/>
    </row>
    <row r="28" spans="2:15" x14ac:dyDescent="0.2">
      <c r="B28" s="21"/>
      <c r="C28" s="35"/>
      <c r="D28" s="1570"/>
      <c r="E28" s="35"/>
      <c r="F28" s="186"/>
      <c r="G28" s="186"/>
      <c r="H28" s="537">
        <v>0</v>
      </c>
      <c r="I28" s="537">
        <f t="shared" ref="I28" si="3">H28</f>
        <v>0</v>
      </c>
      <c r="J28" s="537">
        <f t="shared" ref="I28:K32" si="4">I28</f>
        <v>0</v>
      </c>
      <c r="K28" s="537">
        <f t="shared" si="4"/>
        <v>0</v>
      </c>
      <c r="L28" s="537">
        <f t="shared" ref="L28:M32" si="5">K28</f>
        <v>0</v>
      </c>
      <c r="M28" s="537">
        <f t="shared" si="5"/>
        <v>0</v>
      </c>
      <c r="N28" s="35"/>
      <c r="O28" s="25"/>
    </row>
    <row r="29" spans="2:15" x14ac:dyDescent="0.2">
      <c r="B29" s="21"/>
      <c r="C29" s="35"/>
      <c r="D29" s="534"/>
      <c r="E29" s="35"/>
      <c r="F29" s="186"/>
      <c r="G29" s="186"/>
      <c r="H29" s="537">
        <v>0</v>
      </c>
      <c r="I29" s="537">
        <f t="shared" si="4"/>
        <v>0</v>
      </c>
      <c r="J29" s="537">
        <f t="shared" si="4"/>
        <v>0</v>
      </c>
      <c r="K29" s="537">
        <f t="shared" si="4"/>
        <v>0</v>
      </c>
      <c r="L29" s="537">
        <f t="shared" si="5"/>
        <v>0</v>
      </c>
      <c r="M29" s="537">
        <f t="shared" si="5"/>
        <v>0</v>
      </c>
      <c r="N29" s="35"/>
      <c r="O29" s="25"/>
    </row>
    <row r="30" spans="2:15" x14ac:dyDescent="0.2">
      <c r="B30" s="21"/>
      <c r="C30" s="35"/>
      <c r="D30" s="534"/>
      <c r="E30" s="35"/>
      <c r="F30" s="186"/>
      <c r="G30" s="186"/>
      <c r="H30" s="537">
        <v>0</v>
      </c>
      <c r="I30" s="537">
        <f t="shared" si="4"/>
        <v>0</v>
      </c>
      <c r="J30" s="537">
        <f t="shared" si="4"/>
        <v>0</v>
      </c>
      <c r="K30" s="537">
        <f t="shared" si="4"/>
        <v>0</v>
      </c>
      <c r="L30" s="537">
        <f t="shared" si="5"/>
        <v>0</v>
      </c>
      <c r="M30" s="537">
        <f t="shared" si="5"/>
        <v>0</v>
      </c>
      <c r="N30" s="35"/>
      <c r="O30" s="25"/>
    </row>
    <row r="31" spans="2:15" x14ac:dyDescent="0.2">
      <c r="B31" s="21"/>
      <c r="C31" s="35"/>
      <c r="D31" s="534"/>
      <c r="E31" s="35"/>
      <c r="F31" s="186"/>
      <c r="G31" s="186"/>
      <c r="H31" s="537">
        <v>0</v>
      </c>
      <c r="I31" s="537">
        <f t="shared" si="4"/>
        <v>0</v>
      </c>
      <c r="J31" s="537">
        <f t="shared" si="4"/>
        <v>0</v>
      </c>
      <c r="K31" s="537">
        <f t="shared" si="4"/>
        <v>0</v>
      </c>
      <c r="L31" s="537">
        <f t="shared" si="5"/>
        <v>0</v>
      </c>
      <c r="M31" s="537">
        <f t="shared" si="5"/>
        <v>0</v>
      </c>
      <c r="N31" s="35"/>
      <c r="O31" s="25"/>
    </row>
    <row r="32" spans="2:15" x14ac:dyDescent="0.2">
      <c r="B32" s="21"/>
      <c r="C32" s="35"/>
      <c r="D32" s="534"/>
      <c r="E32" s="35"/>
      <c r="F32" s="186"/>
      <c r="G32" s="186"/>
      <c r="H32" s="537">
        <v>0</v>
      </c>
      <c r="I32" s="537">
        <f t="shared" si="4"/>
        <v>0</v>
      </c>
      <c r="J32" s="537">
        <f t="shared" si="4"/>
        <v>0</v>
      </c>
      <c r="K32" s="537">
        <f>J32</f>
        <v>0</v>
      </c>
      <c r="L32" s="537">
        <f t="shared" si="5"/>
        <v>0</v>
      </c>
      <c r="M32" s="537">
        <f t="shared" si="5"/>
        <v>0</v>
      </c>
      <c r="N32" s="35"/>
      <c r="O32" s="25"/>
    </row>
    <row r="33" spans="2:16" x14ac:dyDescent="0.2">
      <c r="B33" s="21"/>
      <c r="C33" s="35"/>
      <c r="D33" s="37"/>
      <c r="E33" s="35"/>
      <c r="F33" s="186"/>
      <c r="G33" s="186"/>
      <c r="H33" s="546">
        <f t="shared" ref="H33:M33" si="6">SUM(H28:H32)</f>
        <v>0</v>
      </c>
      <c r="I33" s="546">
        <f t="shared" si="6"/>
        <v>0</v>
      </c>
      <c r="J33" s="546">
        <f t="shared" si="6"/>
        <v>0</v>
      </c>
      <c r="K33" s="546">
        <f t="shared" si="6"/>
        <v>0</v>
      </c>
      <c r="L33" s="546">
        <f t="shared" si="6"/>
        <v>0</v>
      </c>
      <c r="M33" s="546">
        <f t="shared" si="6"/>
        <v>0</v>
      </c>
      <c r="N33" s="35"/>
      <c r="O33" s="25"/>
    </row>
    <row r="34" spans="2:16" x14ac:dyDescent="0.2">
      <c r="B34" s="21"/>
      <c r="C34" s="35"/>
      <c r="D34" s="37"/>
      <c r="E34" s="35"/>
      <c r="F34" s="186"/>
      <c r="G34" s="186"/>
      <c r="H34" s="186"/>
      <c r="I34" s="186"/>
      <c r="J34" s="186"/>
      <c r="K34" s="186"/>
      <c r="L34" s="186"/>
      <c r="M34" s="186"/>
      <c r="N34" s="35"/>
      <c r="O34" s="25"/>
    </row>
    <row r="35" spans="2:16" x14ac:dyDescent="0.2">
      <c r="B35" s="21"/>
      <c r="C35" s="35"/>
      <c r="D35" s="621" t="s">
        <v>654</v>
      </c>
      <c r="E35" s="40"/>
      <c r="F35" s="41"/>
      <c r="G35" s="41"/>
      <c r="H35" s="976">
        <f>+H24+H33</f>
        <v>0</v>
      </c>
      <c r="I35" s="976">
        <f t="shared" ref="I35:M35" si="7">+I24+I33</f>
        <v>0</v>
      </c>
      <c r="J35" s="976">
        <f t="shared" si="7"/>
        <v>0</v>
      </c>
      <c r="K35" s="976">
        <f t="shared" si="7"/>
        <v>0</v>
      </c>
      <c r="L35" s="976">
        <f t="shared" si="7"/>
        <v>0</v>
      </c>
      <c r="M35" s="976">
        <f t="shared" si="7"/>
        <v>0</v>
      </c>
      <c r="N35" s="35"/>
      <c r="O35" s="25"/>
    </row>
    <row r="36" spans="2:16" x14ac:dyDescent="0.2">
      <c r="B36" s="21"/>
      <c r="C36" s="36"/>
      <c r="D36" s="978"/>
      <c r="E36" s="979"/>
      <c r="F36" s="980"/>
      <c r="G36" s="980"/>
      <c r="H36" s="980"/>
      <c r="I36" s="980"/>
      <c r="J36" s="980"/>
      <c r="K36" s="980"/>
      <c r="L36" s="980"/>
      <c r="M36" s="980"/>
      <c r="N36" s="34"/>
      <c r="O36" s="25"/>
    </row>
    <row r="37" spans="2:16" x14ac:dyDescent="0.2">
      <c r="B37" s="936"/>
      <c r="C37" s="669"/>
      <c r="D37" s="981"/>
      <c r="E37" s="982"/>
      <c r="F37" s="983"/>
      <c r="G37" s="983"/>
      <c r="H37" s="984"/>
      <c r="I37" s="984"/>
      <c r="J37" s="984"/>
      <c r="K37" s="984"/>
      <c r="L37" s="984"/>
      <c r="M37" s="984"/>
      <c r="N37" s="516"/>
      <c r="O37" s="25"/>
    </row>
    <row r="38" spans="2:16" x14ac:dyDescent="0.2">
      <c r="B38" s="21"/>
      <c r="C38" s="191"/>
      <c r="D38" s="538" t="s">
        <v>647</v>
      </c>
      <c r="E38" s="508"/>
      <c r="F38" s="79"/>
      <c r="G38" s="113"/>
      <c r="H38" s="977"/>
      <c r="I38" s="977"/>
      <c r="J38" s="977"/>
      <c r="K38" s="977"/>
      <c r="L38" s="977"/>
      <c r="M38" s="977"/>
      <c r="N38" s="973"/>
      <c r="O38" s="25"/>
      <c r="P38" s="958"/>
    </row>
    <row r="39" spans="2:16" x14ac:dyDescent="0.2">
      <c r="B39" s="21"/>
      <c r="C39" s="191"/>
      <c r="D39" s="38" t="s">
        <v>894</v>
      </c>
      <c r="E39" s="191"/>
      <c r="F39" s="71"/>
      <c r="G39" s="1571"/>
      <c r="H39" s="974">
        <f t="shared" ref="H39:M39" si="8">+H8</f>
        <v>2015</v>
      </c>
      <c r="I39" s="974">
        <f t="shared" si="8"/>
        <v>2016</v>
      </c>
      <c r="J39" s="974">
        <f t="shared" si="8"/>
        <v>2017</v>
      </c>
      <c r="K39" s="974">
        <f t="shared" si="8"/>
        <v>2018</v>
      </c>
      <c r="L39" s="974">
        <f t="shared" si="8"/>
        <v>2019</v>
      </c>
      <c r="M39" s="975">
        <f t="shared" si="8"/>
        <v>2020</v>
      </c>
      <c r="N39" s="516"/>
      <c r="O39" s="25"/>
    </row>
    <row r="40" spans="2:16" x14ac:dyDescent="0.2">
      <c r="B40" s="21"/>
      <c r="C40" s="191"/>
      <c r="D40" s="191"/>
      <c r="E40" s="191"/>
      <c r="F40" s="71"/>
      <c r="G40" s="69"/>
      <c r="H40" s="69"/>
      <c r="I40" s="69"/>
      <c r="J40" s="69"/>
      <c r="K40" s="69"/>
      <c r="L40" s="69"/>
      <c r="M40" s="69"/>
      <c r="N40" s="516"/>
      <c r="O40" s="25"/>
    </row>
    <row r="41" spans="2:16" x14ac:dyDescent="0.2">
      <c r="B41" s="21"/>
      <c r="C41" s="191"/>
      <c r="D41" s="191" t="s">
        <v>893</v>
      </c>
      <c r="E41" s="191"/>
      <c r="F41" s="71"/>
      <c r="G41" s="71"/>
      <c r="H41" s="1569">
        <f>G63+5/12*(H63+H67)</f>
        <v>0</v>
      </c>
      <c r="I41" s="545">
        <f>7/12*(H63+H67)+5/12*(I63+I67)</f>
        <v>0</v>
      </c>
      <c r="J41" s="545">
        <f>7/12*(I63+I67)+5/12*(J63+J67)</f>
        <v>0</v>
      </c>
      <c r="K41" s="545">
        <f>7/12*(J63+J67)+5/12*(K63+K67)</f>
        <v>0</v>
      </c>
      <c r="L41" s="545">
        <f>7/12*(K63+K67)+5/12*(L63+L67)</f>
        <v>0</v>
      </c>
      <c r="M41" s="545">
        <f>7/12*(L63+L67)+5/12*(M63+M67)</f>
        <v>0</v>
      </c>
      <c r="N41" s="516"/>
      <c r="O41" s="25"/>
    </row>
    <row r="42" spans="2:16" x14ac:dyDescent="0.2">
      <c r="B42" s="936"/>
      <c r="C42" s="191"/>
      <c r="D42" s="191" t="s">
        <v>762</v>
      </c>
      <c r="E42" s="191"/>
      <c r="F42" s="71"/>
      <c r="G42" s="71"/>
      <c r="H42" s="1569">
        <f t="shared" ref="H42:H43" si="9">5/12*H64</f>
        <v>0</v>
      </c>
      <c r="I42" s="545">
        <f>7/12*H64+5/12*I64</f>
        <v>0</v>
      </c>
      <c r="J42" s="545">
        <f t="shared" ref="J42:M42" si="10">7/12*I64+5/12*J64</f>
        <v>0</v>
      </c>
      <c r="K42" s="545">
        <f t="shared" si="10"/>
        <v>0</v>
      </c>
      <c r="L42" s="545">
        <f t="shared" si="10"/>
        <v>0</v>
      </c>
      <c r="M42" s="545">
        <f t="shared" si="10"/>
        <v>0</v>
      </c>
      <c r="N42" s="516"/>
      <c r="O42" s="895"/>
    </row>
    <row r="43" spans="2:16" x14ac:dyDescent="0.2">
      <c r="B43" s="936"/>
      <c r="C43" s="191"/>
      <c r="D43" s="191" t="s">
        <v>763</v>
      </c>
      <c r="E43" s="191"/>
      <c r="F43" s="71"/>
      <c r="G43" s="71"/>
      <c r="H43" s="1569">
        <f t="shared" si="9"/>
        <v>0</v>
      </c>
      <c r="I43" s="545">
        <f>7/12*H65+5/12*I65</f>
        <v>0</v>
      </c>
      <c r="J43" s="545">
        <f t="shared" ref="J43:M43" si="11">7/12*I65+5/12*J65</f>
        <v>0</v>
      </c>
      <c r="K43" s="545">
        <f t="shared" si="11"/>
        <v>0</v>
      </c>
      <c r="L43" s="545">
        <f t="shared" si="11"/>
        <v>0</v>
      </c>
      <c r="M43" s="545">
        <f t="shared" si="11"/>
        <v>0</v>
      </c>
      <c r="N43" s="516"/>
      <c r="O43" s="895"/>
    </row>
    <row r="44" spans="2:16" x14ac:dyDescent="0.2">
      <c r="B44" s="936"/>
      <c r="C44" s="191"/>
      <c r="D44" s="961"/>
      <c r="E44" s="191"/>
      <c r="F44" s="71"/>
      <c r="G44" s="1572"/>
      <c r="H44" s="1228"/>
      <c r="I44" s="1228"/>
      <c r="J44" s="1228"/>
      <c r="K44" s="1228"/>
      <c r="L44" s="1228"/>
      <c r="M44" s="1228"/>
      <c r="N44" s="191"/>
      <c r="O44" s="25"/>
    </row>
    <row r="45" spans="2:16" x14ac:dyDescent="0.2">
      <c r="B45" s="21"/>
      <c r="C45" s="191"/>
      <c r="D45" s="38" t="s">
        <v>905</v>
      </c>
      <c r="E45" s="191"/>
      <c r="F45" s="71"/>
      <c r="G45" s="71"/>
      <c r="H45" s="71"/>
      <c r="I45" s="71"/>
      <c r="J45" s="71"/>
      <c r="K45" s="71"/>
      <c r="L45" s="71"/>
      <c r="M45" s="71"/>
      <c r="N45" s="191"/>
      <c r="O45" s="25"/>
    </row>
    <row r="46" spans="2:16" x14ac:dyDescent="0.2">
      <c r="B46" s="21"/>
      <c r="C46" s="191"/>
      <c r="D46" s="535"/>
      <c r="E46" s="191"/>
      <c r="F46" s="71"/>
      <c r="G46" s="71"/>
      <c r="H46" s="537">
        <v>0</v>
      </c>
      <c r="I46" s="67">
        <f t="shared" ref="I46:K49" si="12">H46</f>
        <v>0</v>
      </c>
      <c r="J46" s="67">
        <f t="shared" si="12"/>
        <v>0</v>
      </c>
      <c r="K46" s="67">
        <f t="shared" si="12"/>
        <v>0</v>
      </c>
      <c r="L46" s="67">
        <f t="shared" ref="L46:M49" si="13">K46</f>
        <v>0</v>
      </c>
      <c r="M46" s="67">
        <f t="shared" si="13"/>
        <v>0</v>
      </c>
      <c r="N46" s="191"/>
      <c r="O46" s="25"/>
    </row>
    <row r="47" spans="2:16" x14ac:dyDescent="0.2">
      <c r="B47" s="21"/>
      <c r="C47" s="191"/>
      <c r="D47" s="535"/>
      <c r="E47" s="191"/>
      <c r="F47" s="71"/>
      <c r="G47" s="71"/>
      <c r="H47" s="537">
        <v>0</v>
      </c>
      <c r="I47" s="67">
        <f t="shared" si="12"/>
        <v>0</v>
      </c>
      <c r="J47" s="67">
        <f t="shared" si="12"/>
        <v>0</v>
      </c>
      <c r="K47" s="67">
        <f t="shared" si="12"/>
        <v>0</v>
      </c>
      <c r="L47" s="67">
        <f t="shared" si="13"/>
        <v>0</v>
      </c>
      <c r="M47" s="67">
        <f t="shared" si="13"/>
        <v>0</v>
      </c>
      <c r="N47" s="191"/>
      <c r="O47" s="25"/>
    </row>
    <row r="48" spans="2:16" x14ac:dyDescent="0.2">
      <c r="B48" s="21"/>
      <c r="C48" s="191"/>
      <c r="D48" s="535"/>
      <c r="E48" s="191"/>
      <c r="F48" s="71"/>
      <c r="G48" s="71"/>
      <c r="H48" s="537">
        <v>0</v>
      </c>
      <c r="I48" s="67">
        <f t="shared" si="12"/>
        <v>0</v>
      </c>
      <c r="J48" s="67">
        <f t="shared" si="12"/>
        <v>0</v>
      </c>
      <c r="K48" s="67">
        <f t="shared" si="12"/>
        <v>0</v>
      </c>
      <c r="L48" s="67">
        <f t="shared" si="13"/>
        <v>0</v>
      </c>
      <c r="M48" s="67">
        <f t="shared" si="13"/>
        <v>0</v>
      </c>
      <c r="N48" s="191"/>
      <c r="O48" s="25"/>
    </row>
    <row r="49" spans="2:17" x14ac:dyDescent="0.2">
      <c r="B49" s="21"/>
      <c r="C49" s="191"/>
      <c r="D49" s="535"/>
      <c r="E49" s="191"/>
      <c r="F49" s="71"/>
      <c r="G49" s="71"/>
      <c r="H49" s="537">
        <v>0</v>
      </c>
      <c r="I49" s="67">
        <f t="shared" si="12"/>
        <v>0</v>
      </c>
      <c r="J49" s="67">
        <f t="shared" si="12"/>
        <v>0</v>
      </c>
      <c r="K49" s="67">
        <f>J49</f>
        <v>0</v>
      </c>
      <c r="L49" s="67">
        <f t="shared" si="13"/>
        <v>0</v>
      </c>
      <c r="M49" s="67">
        <f t="shared" si="13"/>
        <v>0</v>
      </c>
      <c r="N49" s="191"/>
      <c r="O49" s="25"/>
    </row>
    <row r="50" spans="2:17" x14ac:dyDescent="0.2">
      <c r="B50" s="21"/>
      <c r="C50" s="191"/>
      <c r="D50" s="199"/>
      <c r="E50" s="191"/>
      <c r="F50" s="71"/>
      <c r="G50" s="71"/>
      <c r="H50" s="546">
        <f t="shared" ref="H50:M50" si="14">SUM(H46:H49)</f>
        <v>0</v>
      </c>
      <c r="I50" s="546">
        <f t="shared" si="14"/>
        <v>0</v>
      </c>
      <c r="J50" s="546">
        <f t="shared" si="14"/>
        <v>0</v>
      </c>
      <c r="K50" s="546">
        <f t="shared" si="14"/>
        <v>0</v>
      </c>
      <c r="L50" s="546">
        <f t="shared" si="14"/>
        <v>0</v>
      </c>
      <c r="M50" s="546">
        <f t="shared" si="14"/>
        <v>0</v>
      </c>
      <c r="N50" s="191"/>
      <c r="O50" s="25"/>
    </row>
    <row r="51" spans="2:17" x14ac:dyDescent="0.2">
      <c r="B51" s="21"/>
      <c r="C51" s="191"/>
      <c r="D51" s="199"/>
      <c r="E51" s="191"/>
      <c r="F51" s="71"/>
      <c r="G51" s="71"/>
      <c r="H51" s="71"/>
      <c r="I51" s="71"/>
      <c r="J51" s="71"/>
      <c r="K51" s="71"/>
      <c r="L51" s="71"/>
      <c r="M51" s="71"/>
      <c r="N51" s="191"/>
      <c r="O51" s="25"/>
    </row>
    <row r="52" spans="2:17" x14ac:dyDescent="0.2">
      <c r="B52" s="21"/>
      <c r="C52" s="191"/>
      <c r="D52" s="199"/>
      <c r="E52" s="191"/>
      <c r="F52" s="71"/>
      <c r="G52" s="71"/>
      <c r="H52" s="545">
        <f>H41+H42+H43+H50</f>
        <v>0</v>
      </c>
      <c r="I52" s="545">
        <f t="shared" ref="I52:M52" si="15">I41+I42+I43+I50</f>
        <v>0</v>
      </c>
      <c r="J52" s="545">
        <f t="shared" si="15"/>
        <v>0</v>
      </c>
      <c r="K52" s="545">
        <f t="shared" si="15"/>
        <v>0</v>
      </c>
      <c r="L52" s="545">
        <f t="shared" si="15"/>
        <v>0</v>
      </c>
      <c r="M52" s="545">
        <f t="shared" si="15"/>
        <v>0</v>
      </c>
      <c r="N52" s="191"/>
      <c r="O52" s="25"/>
    </row>
    <row r="53" spans="2:17" ht="13.5" thickBot="1" x14ac:dyDescent="0.25">
      <c r="B53" s="21"/>
      <c r="C53" s="82"/>
      <c r="D53" s="51"/>
      <c r="E53" s="40"/>
      <c r="F53" s="41"/>
      <c r="G53" s="41"/>
      <c r="H53" s="41"/>
      <c r="I53" s="41"/>
      <c r="J53" s="41"/>
      <c r="K53" s="41"/>
      <c r="L53" s="41"/>
      <c r="M53" s="41"/>
      <c r="N53" s="82"/>
      <c r="O53" s="25"/>
    </row>
    <row r="54" spans="2:17" ht="13.5" thickTop="1" x14ac:dyDescent="0.2">
      <c r="B54" s="21"/>
      <c r="C54" s="1140"/>
      <c r="D54" s="1141"/>
      <c r="E54" s="1142"/>
      <c r="F54" s="1143"/>
      <c r="G54" s="1143"/>
      <c r="H54" s="1143"/>
      <c r="I54" s="1143"/>
      <c r="J54" s="1143"/>
      <c r="K54" s="1143"/>
      <c r="L54" s="1143"/>
      <c r="M54" s="1143"/>
      <c r="N54" s="1144"/>
      <c r="O54" s="25"/>
    </row>
    <row r="55" spans="2:17" ht="15.75" x14ac:dyDescent="0.25">
      <c r="B55" s="936"/>
      <c r="C55" s="1145"/>
      <c r="D55" s="1157" t="s">
        <v>725</v>
      </c>
      <c r="E55" s="1124"/>
      <c r="F55" s="1125"/>
      <c r="G55" s="1573"/>
      <c r="H55" s="1163" t="str">
        <f>+tab!E2</f>
        <v>2015/16</v>
      </c>
      <c r="I55" s="1163" t="str">
        <f>+tab!F2</f>
        <v>2016/17</v>
      </c>
      <c r="J55" s="1163" t="str">
        <f>+tab!G2</f>
        <v>2017/18</v>
      </c>
      <c r="K55" s="1163" t="str">
        <f>+tab!H2</f>
        <v>2018/19</v>
      </c>
      <c r="L55" s="1163" t="str">
        <f>+tab!I2</f>
        <v>2019/20</v>
      </c>
      <c r="M55" s="1164" t="str">
        <f>+tab!J2</f>
        <v>2020/21</v>
      </c>
      <c r="N55" s="1146"/>
      <c r="O55" s="25"/>
    </row>
    <row r="56" spans="2:17" x14ac:dyDescent="0.2">
      <c r="B56" s="936"/>
      <c r="C56" s="1145"/>
      <c r="D56" s="1126" t="s">
        <v>63</v>
      </c>
      <c r="E56" s="35"/>
      <c r="F56" s="186"/>
      <c r="G56" s="166"/>
      <c r="H56" s="1165"/>
      <c r="I56" s="1165"/>
      <c r="J56" s="1165"/>
      <c r="K56" s="1165"/>
      <c r="L56" s="1165"/>
      <c r="M56" s="1166"/>
      <c r="N56" s="1146"/>
      <c r="O56" s="25"/>
    </row>
    <row r="57" spans="2:17" x14ac:dyDescent="0.2">
      <c r="B57" s="936"/>
      <c r="C57" s="1145"/>
      <c r="D57" s="1127" t="s">
        <v>643</v>
      </c>
      <c r="E57" s="35"/>
      <c r="F57" s="186"/>
      <c r="G57" s="186"/>
      <c r="H57" s="1162">
        <f>5/12*(H15+H16)+7/12*(I15+I16+I19+I20)</f>
        <v>0</v>
      </c>
      <c r="I57" s="1162">
        <f>5/12*(I15+I16+I19+I20)+7/12*(J15+J19+J20)</f>
        <v>0</v>
      </c>
      <c r="J57" s="1162">
        <f>5/12*(J15+J19+J20)+7/12*(K15+K19+K20)</f>
        <v>0</v>
      </c>
      <c r="K57" s="1162">
        <f>5/12*(K15+K19+K20)+7/12*(L15+L19+L20)</f>
        <v>0</v>
      </c>
      <c r="L57" s="1162">
        <f>5/12*(L15+L19+L20)+7/12*(M15+M19+M20)</f>
        <v>0</v>
      </c>
      <c r="M57" s="1167">
        <f>(M15+M19+M20)</f>
        <v>0</v>
      </c>
      <c r="N57" s="1146"/>
      <c r="O57" s="25"/>
    </row>
    <row r="58" spans="2:17" x14ac:dyDescent="0.2">
      <c r="B58" s="936"/>
      <c r="C58" s="1145"/>
      <c r="D58" s="1127" t="s">
        <v>761</v>
      </c>
      <c r="E58" s="35"/>
      <c r="F58" s="186"/>
      <c r="G58" s="186"/>
      <c r="H58" s="1162">
        <f>7/12*I21</f>
        <v>0</v>
      </c>
      <c r="I58" s="1162">
        <f>5/12*I21+7/12*J21</f>
        <v>0</v>
      </c>
      <c r="J58" s="1162">
        <f t="shared" ref="J58:L58" si="16">5/12*J21+7/12*K21</f>
        <v>0</v>
      </c>
      <c r="K58" s="1162">
        <f t="shared" si="16"/>
        <v>0</v>
      </c>
      <c r="L58" s="1162">
        <f t="shared" si="16"/>
        <v>0</v>
      </c>
      <c r="M58" s="1162">
        <f>M21</f>
        <v>0</v>
      </c>
      <c r="N58" s="1146"/>
      <c r="O58" s="895"/>
    </row>
    <row r="59" spans="2:17" x14ac:dyDescent="0.2">
      <c r="B59" s="936"/>
      <c r="C59" s="1145"/>
      <c r="D59" s="1135" t="s">
        <v>904</v>
      </c>
      <c r="E59" s="35"/>
      <c r="F59" s="186"/>
      <c r="G59" s="186"/>
      <c r="H59" s="1162">
        <f t="shared" ref="H59:M59" si="17">5/12*H33+7/12*I33</f>
        <v>0</v>
      </c>
      <c r="I59" s="1162">
        <f t="shared" si="17"/>
        <v>0</v>
      </c>
      <c r="J59" s="1162">
        <f t="shared" si="17"/>
        <v>0</v>
      </c>
      <c r="K59" s="1162">
        <f t="shared" si="17"/>
        <v>0</v>
      </c>
      <c r="L59" s="1162">
        <f t="shared" si="17"/>
        <v>0</v>
      </c>
      <c r="M59" s="1167">
        <f t="shared" si="17"/>
        <v>0</v>
      </c>
      <c r="N59" s="1146"/>
      <c r="O59" s="25"/>
    </row>
    <row r="60" spans="2:17" x14ac:dyDescent="0.2">
      <c r="B60" s="936"/>
      <c r="C60" s="1145"/>
      <c r="D60" s="1127"/>
      <c r="E60" s="35"/>
      <c r="F60" s="186"/>
      <c r="G60" s="166"/>
      <c r="H60" s="1223"/>
      <c r="I60" s="1223"/>
      <c r="J60" s="1223"/>
      <c r="K60" s="1223"/>
      <c r="L60" s="1223"/>
      <c r="M60" s="1223"/>
      <c r="N60" s="1146"/>
      <c r="O60" s="25"/>
    </row>
    <row r="61" spans="2:17" x14ac:dyDescent="0.2">
      <c r="B61" s="936"/>
      <c r="C61" s="1147"/>
      <c r="D61" s="1126" t="s">
        <v>64</v>
      </c>
      <c r="E61" s="508"/>
      <c r="F61" s="79"/>
      <c r="G61" s="1572"/>
      <c r="H61" s="956" t="str">
        <f>+tab!E2</f>
        <v>2015/16</v>
      </c>
      <c r="I61" s="956" t="str">
        <f>+tab!F2</f>
        <v>2016/17</v>
      </c>
      <c r="J61" s="956" t="str">
        <f>+tab!G2</f>
        <v>2017/18</v>
      </c>
      <c r="K61" s="956" t="str">
        <f>+tab!H2</f>
        <v>2018/19</v>
      </c>
      <c r="L61" s="956" t="str">
        <f>+tab!I2</f>
        <v>2019/20</v>
      </c>
      <c r="M61" s="1128" t="str">
        <f>+tab!J2</f>
        <v>2020/21</v>
      </c>
      <c r="N61" s="1148"/>
      <c r="O61" s="25"/>
    </row>
    <row r="62" spans="2:17" x14ac:dyDescent="0.2">
      <c r="B62" s="936"/>
      <c r="C62" s="1147"/>
      <c r="D62" s="1127" t="s">
        <v>726</v>
      </c>
      <c r="E62" s="508"/>
      <c r="F62" s="79"/>
      <c r="G62" s="1572"/>
      <c r="H62" s="71"/>
      <c r="I62" s="71"/>
      <c r="J62" s="71"/>
      <c r="K62" s="71"/>
      <c r="L62" s="71"/>
      <c r="M62" s="1129"/>
      <c r="N62" s="1148"/>
      <c r="O62" s="25"/>
    </row>
    <row r="63" spans="2:17" x14ac:dyDescent="0.2">
      <c r="B63" s="936"/>
      <c r="C63" s="1147"/>
      <c r="D63" s="1127" t="s">
        <v>424</v>
      </c>
      <c r="E63" s="508"/>
      <c r="F63" s="79"/>
      <c r="G63" s="1578">
        <f>7/12*(herbest!H52+'geg ZO'!I27*tab!D39)</f>
        <v>0</v>
      </c>
      <c r="H63" s="548">
        <f>ROUND('geg ZO'!J27*tab!E39,2)</f>
        <v>0</v>
      </c>
      <c r="I63" s="548">
        <f>ROUND('geg ZO'!K27*tab!F39,2)</f>
        <v>0</v>
      </c>
      <c r="J63" s="548">
        <f>ROUND('geg ZO'!L27*tab!G39,2)</f>
        <v>0</v>
      </c>
      <c r="K63" s="548">
        <f>ROUND('geg ZO'!M27*tab!H39,2)</f>
        <v>0</v>
      </c>
      <c r="L63" s="548">
        <f>ROUND('geg ZO'!N27*tab!I39,2)</f>
        <v>0</v>
      </c>
      <c r="M63" s="548">
        <f>ROUND('geg ZO'!O27*tab!J39,2)</f>
        <v>0</v>
      </c>
      <c r="N63" s="1148"/>
      <c r="O63" s="25"/>
      <c r="Q63" s="1637"/>
    </row>
    <row r="64" spans="2:17" x14ac:dyDescent="0.2">
      <c r="B64" s="936"/>
      <c r="C64" s="1147"/>
      <c r="D64" s="1127" t="s">
        <v>762</v>
      </c>
      <c r="E64" s="508"/>
      <c r="F64" s="79"/>
      <c r="G64" s="1572"/>
      <c r="H64" s="548">
        <f>+'overdr VSO'!I17</f>
        <v>0</v>
      </c>
      <c r="I64" s="548">
        <f>+'overdr VSO'!J17</f>
        <v>0</v>
      </c>
      <c r="J64" s="548">
        <f>+'overdr VSO'!K17</f>
        <v>0</v>
      </c>
      <c r="K64" s="548">
        <f>+'overdr VSO'!L17</f>
        <v>0</v>
      </c>
      <c r="L64" s="548">
        <f>+'overdr VSO'!M17</f>
        <v>0</v>
      </c>
      <c r="M64" s="548">
        <f>+'overdr VSO'!N17</f>
        <v>0</v>
      </c>
      <c r="N64" s="1148"/>
      <c r="O64" s="895"/>
    </row>
    <row r="65" spans="2:16" x14ac:dyDescent="0.2">
      <c r="B65" s="936"/>
      <c r="C65" s="1147"/>
      <c r="D65" s="1127" t="s">
        <v>763</v>
      </c>
      <c r="E65" s="508"/>
      <c r="F65" s="79"/>
      <c r="G65" s="1572"/>
      <c r="H65" s="548">
        <f>+'peild VSO'!G18</f>
        <v>0</v>
      </c>
      <c r="I65" s="548">
        <f>+'peild VSO'!H18</f>
        <v>0</v>
      </c>
      <c r="J65" s="548">
        <f>+'peild VSO'!I18</f>
        <v>0</v>
      </c>
      <c r="K65" s="548">
        <f>+'peild VSO'!J18</f>
        <v>0</v>
      </c>
      <c r="L65" s="548">
        <f>+'peild VSO'!K18</f>
        <v>0</v>
      </c>
      <c r="M65" s="548">
        <f>+'peild VSO'!L18</f>
        <v>0</v>
      </c>
      <c r="N65" s="1148"/>
      <c r="O65" s="895"/>
    </row>
    <row r="66" spans="2:16" x14ac:dyDescent="0.2">
      <c r="B66" s="936"/>
      <c r="C66" s="1147"/>
      <c r="D66" s="1130"/>
      <c r="E66" s="508"/>
      <c r="F66" s="79"/>
      <c r="G66" s="113"/>
      <c r="H66" s="11"/>
      <c r="I66" s="11"/>
      <c r="J66" s="11"/>
      <c r="K66" s="11"/>
      <c r="L66" s="11"/>
      <c r="M66" s="1131"/>
      <c r="N66" s="1148"/>
      <c r="O66" s="25"/>
    </row>
    <row r="67" spans="2:16" x14ac:dyDescent="0.2">
      <c r="B67" s="21"/>
      <c r="C67" s="1147"/>
      <c r="D67" s="1127" t="s">
        <v>563</v>
      </c>
      <c r="E67" s="191"/>
      <c r="F67" s="71"/>
      <c r="G67" s="71"/>
      <c r="H67" s="68">
        <f>+tab!E55</f>
        <v>0</v>
      </c>
      <c r="I67" s="68">
        <f>+tab!F55</f>
        <v>0</v>
      </c>
      <c r="J67" s="68">
        <f>+tab!G55</f>
        <v>0</v>
      </c>
      <c r="K67" s="68">
        <f>+tab!H55</f>
        <v>0</v>
      </c>
      <c r="L67" s="68">
        <f>+tab!I55</f>
        <v>0</v>
      </c>
      <c r="M67" s="1132">
        <f>+tab!J55</f>
        <v>0</v>
      </c>
      <c r="N67" s="1148"/>
      <c r="O67" s="25"/>
    </row>
    <row r="68" spans="2:16" x14ac:dyDescent="0.2">
      <c r="B68" s="936"/>
      <c r="C68" s="1147"/>
      <c r="D68" s="1133"/>
      <c r="E68" s="508"/>
      <c r="F68" s="79"/>
      <c r="G68" s="1572"/>
      <c r="H68" s="962"/>
      <c r="I68" s="962"/>
      <c r="J68" s="962"/>
      <c r="K68" s="962"/>
      <c r="L68" s="962"/>
      <c r="M68" s="1134"/>
      <c r="N68" s="1149"/>
      <c r="O68" s="25"/>
    </row>
    <row r="69" spans="2:16" x14ac:dyDescent="0.2">
      <c r="B69" s="936"/>
      <c r="C69" s="1147"/>
      <c r="D69" s="1135" t="s">
        <v>904</v>
      </c>
      <c r="E69" s="1136"/>
      <c r="F69" s="1137"/>
      <c r="G69" s="1137"/>
      <c r="H69" s="1138">
        <f>7/12*H50+5/12*I50</f>
        <v>0</v>
      </c>
      <c r="I69" s="1138">
        <f>7/12*I50+5/12*J50</f>
        <v>0</v>
      </c>
      <c r="J69" s="1138">
        <f>7/12*J50+5/12*K50</f>
        <v>0</v>
      </c>
      <c r="K69" s="1138">
        <f>7/12*K50+5/12*L50</f>
        <v>0</v>
      </c>
      <c r="L69" s="1138">
        <f>7/12*L50+5/12*M50</f>
        <v>0</v>
      </c>
      <c r="M69" s="1139">
        <f>M50</f>
        <v>0</v>
      </c>
      <c r="N69" s="1150"/>
      <c r="O69" s="25"/>
    </row>
    <row r="70" spans="2:16" ht="13.5" thickBot="1" x14ac:dyDescent="0.25">
      <c r="B70" s="936"/>
      <c r="C70" s="1151"/>
      <c r="D70" s="1152"/>
      <c r="E70" s="1153"/>
      <c r="F70" s="1154"/>
      <c r="G70" s="1154"/>
      <c r="H70" s="1155"/>
      <c r="I70" s="1155"/>
      <c r="J70" s="1155"/>
      <c r="K70" s="1155"/>
      <c r="L70" s="1155"/>
      <c r="M70" s="1155"/>
      <c r="N70" s="1156"/>
      <c r="O70" s="25"/>
      <c r="P70" s="960"/>
    </row>
    <row r="71" spans="2:16" ht="13.5" thickTop="1" x14ac:dyDescent="0.2">
      <c r="B71" s="936"/>
      <c r="C71" s="508"/>
      <c r="D71" s="538"/>
      <c r="E71" s="508"/>
      <c r="F71" s="79"/>
      <c r="G71" s="1572"/>
      <c r="H71" s="960"/>
      <c r="I71" s="960"/>
      <c r="J71" s="960"/>
      <c r="K71" s="960"/>
      <c r="L71" s="960"/>
      <c r="M71" s="960"/>
      <c r="N71" s="960"/>
      <c r="O71" s="25"/>
      <c r="P71" s="853"/>
    </row>
    <row r="72" spans="2:16" x14ac:dyDescent="0.2">
      <c r="B72" s="936"/>
      <c r="C72" s="191"/>
      <c r="D72" s="538"/>
      <c r="E72" s="508"/>
      <c r="F72" s="79"/>
      <c r="G72" s="1572"/>
      <c r="H72" s="960"/>
      <c r="I72" s="960"/>
      <c r="J72" s="960"/>
      <c r="K72" s="960"/>
      <c r="L72" s="960"/>
      <c r="M72" s="960"/>
      <c r="N72" s="960"/>
      <c r="O72" s="25"/>
      <c r="P72" s="853"/>
    </row>
    <row r="73" spans="2:16" x14ac:dyDescent="0.2">
      <c r="B73" s="936"/>
      <c r="C73" s="191"/>
      <c r="D73" s="538" t="s">
        <v>645</v>
      </c>
      <c r="E73" s="508"/>
      <c r="F73" s="79"/>
      <c r="G73" s="1572"/>
      <c r="H73" s="1224">
        <f t="shared" ref="H73:M73" si="18">+H35+H52</f>
        <v>0</v>
      </c>
      <c r="I73" s="1224">
        <f t="shared" si="18"/>
        <v>0</v>
      </c>
      <c r="J73" s="1224">
        <f t="shared" si="18"/>
        <v>0</v>
      </c>
      <c r="K73" s="1224">
        <f t="shared" si="18"/>
        <v>0</v>
      </c>
      <c r="L73" s="1224">
        <f t="shared" si="18"/>
        <v>0</v>
      </c>
      <c r="M73" s="1224">
        <f t="shared" si="18"/>
        <v>0</v>
      </c>
      <c r="N73" s="191"/>
      <c r="O73" s="25"/>
    </row>
    <row r="74" spans="2:16" x14ac:dyDescent="0.2">
      <c r="B74" s="936"/>
      <c r="C74" s="191"/>
      <c r="D74" s="538"/>
      <c r="E74" s="508"/>
      <c r="F74" s="79"/>
      <c r="G74" s="1572"/>
      <c r="H74" s="79"/>
      <c r="I74" s="79"/>
      <c r="J74" s="79"/>
      <c r="K74" s="79"/>
      <c r="L74" s="79"/>
      <c r="M74" s="79"/>
      <c r="N74" s="191"/>
      <c r="O74" s="25"/>
    </row>
    <row r="75" spans="2:16" x14ac:dyDescent="0.2">
      <c r="B75" s="21"/>
      <c r="C75" s="191"/>
      <c r="D75" s="199" t="s">
        <v>646</v>
      </c>
      <c r="E75" s="191"/>
      <c r="F75" s="71"/>
      <c r="G75" s="71"/>
      <c r="H75" s="544">
        <f t="shared" ref="H75:M75" si="19">+H57+H58+H59+H63+H64+H65+H67+H69</f>
        <v>0</v>
      </c>
      <c r="I75" s="544">
        <f t="shared" si="19"/>
        <v>0</v>
      </c>
      <c r="J75" s="544">
        <f t="shared" si="19"/>
        <v>0</v>
      </c>
      <c r="K75" s="544">
        <f t="shared" si="19"/>
        <v>0</v>
      </c>
      <c r="L75" s="544">
        <f t="shared" si="19"/>
        <v>0</v>
      </c>
      <c r="M75" s="544">
        <f t="shared" si="19"/>
        <v>0</v>
      </c>
      <c r="N75" s="191"/>
      <c r="O75" s="25"/>
    </row>
    <row r="76" spans="2:16" x14ac:dyDescent="0.2">
      <c r="B76" s="21"/>
      <c r="C76" s="110"/>
      <c r="D76" s="114"/>
      <c r="E76" s="110"/>
      <c r="F76" s="113"/>
      <c r="G76" s="113"/>
      <c r="H76" s="113"/>
      <c r="I76" s="113"/>
      <c r="J76" s="113"/>
      <c r="K76" s="113"/>
      <c r="L76" s="113"/>
      <c r="M76" s="113"/>
      <c r="N76" s="110"/>
      <c r="O76" s="25"/>
    </row>
    <row r="77" spans="2:16" x14ac:dyDescent="0.2">
      <c r="B77" s="21"/>
      <c r="C77" s="181"/>
      <c r="D77" s="218"/>
      <c r="E77" s="181"/>
      <c r="F77" s="182"/>
      <c r="G77" s="182"/>
      <c r="H77" s="182"/>
      <c r="I77" s="182"/>
      <c r="J77" s="182"/>
      <c r="K77" s="182"/>
      <c r="L77" s="182"/>
      <c r="M77" s="182"/>
      <c r="N77" s="181"/>
      <c r="O77" s="25"/>
    </row>
    <row r="78" spans="2:16" x14ac:dyDescent="0.2">
      <c r="B78" s="21"/>
      <c r="C78" s="35"/>
      <c r="D78" s="37"/>
      <c r="E78" s="35"/>
      <c r="F78" s="186"/>
      <c r="G78" s="186"/>
      <c r="H78" s="186"/>
      <c r="I78" s="186"/>
      <c r="J78" s="186"/>
      <c r="K78" s="186"/>
      <c r="L78" s="186"/>
      <c r="M78" s="186"/>
      <c r="N78" s="35"/>
      <c r="O78" s="25"/>
    </row>
    <row r="79" spans="2:16" x14ac:dyDescent="0.2">
      <c r="B79" s="21"/>
      <c r="C79" s="35"/>
      <c r="D79" s="604" t="s">
        <v>195</v>
      </c>
      <c r="E79" s="35"/>
      <c r="F79" s="186"/>
      <c r="G79" s="166"/>
      <c r="H79" s="630">
        <f t="shared" ref="H79:M79" si="20">+H8</f>
        <v>2015</v>
      </c>
      <c r="I79" s="630">
        <f t="shared" si="20"/>
        <v>2016</v>
      </c>
      <c r="J79" s="630">
        <f t="shared" si="20"/>
        <v>2017</v>
      </c>
      <c r="K79" s="630">
        <f t="shared" si="20"/>
        <v>2018</v>
      </c>
      <c r="L79" s="630">
        <f t="shared" si="20"/>
        <v>2019</v>
      </c>
      <c r="M79" s="630">
        <f t="shared" si="20"/>
        <v>2020</v>
      </c>
      <c r="N79" s="35"/>
      <c r="O79" s="25"/>
    </row>
    <row r="80" spans="2:16" x14ac:dyDescent="0.2">
      <c r="B80" s="21"/>
      <c r="C80" s="35"/>
      <c r="D80" s="37"/>
      <c r="E80" s="35"/>
      <c r="F80" s="186"/>
      <c r="G80" s="186"/>
      <c r="H80" s="186"/>
      <c r="I80" s="186"/>
      <c r="J80" s="186"/>
      <c r="K80" s="186"/>
      <c r="L80" s="186"/>
      <c r="M80" s="186"/>
      <c r="N80" s="35"/>
      <c r="O80" s="25"/>
    </row>
    <row r="81" spans="2:15" x14ac:dyDescent="0.2">
      <c r="B81" s="21"/>
      <c r="C81" s="35"/>
      <c r="D81" s="199" t="s">
        <v>63</v>
      </c>
      <c r="E81" s="35"/>
      <c r="F81" s="186"/>
      <c r="G81" s="186"/>
      <c r="H81" s="186"/>
      <c r="I81" s="186"/>
      <c r="J81" s="186"/>
      <c r="K81" s="186"/>
      <c r="L81" s="186"/>
      <c r="M81" s="186"/>
      <c r="N81" s="35"/>
      <c r="O81" s="25"/>
    </row>
    <row r="82" spans="2:15" x14ac:dyDescent="0.2">
      <c r="B82" s="21"/>
      <c r="C82" s="35"/>
      <c r="D82" s="535" t="s">
        <v>203</v>
      </c>
      <c r="E82" s="35"/>
      <c r="F82" s="186"/>
      <c r="G82" s="186"/>
      <c r="H82" s="537">
        <v>0</v>
      </c>
      <c r="I82" s="537">
        <f t="shared" ref="I82:K86" si="21">H82</f>
        <v>0</v>
      </c>
      <c r="J82" s="537">
        <f t="shared" si="21"/>
        <v>0</v>
      </c>
      <c r="K82" s="537">
        <f t="shared" si="21"/>
        <v>0</v>
      </c>
      <c r="L82" s="537">
        <f t="shared" ref="L82:M86" si="22">K82</f>
        <v>0</v>
      </c>
      <c r="M82" s="537">
        <f t="shared" si="22"/>
        <v>0</v>
      </c>
      <c r="N82" s="35"/>
      <c r="O82" s="25"/>
    </row>
    <row r="83" spans="2:15" x14ac:dyDescent="0.2">
      <c r="B83" s="21"/>
      <c r="C83" s="35"/>
      <c r="D83" s="534"/>
      <c r="E83" s="35"/>
      <c r="F83" s="186"/>
      <c r="G83" s="186"/>
      <c r="H83" s="537">
        <v>0</v>
      </c>
      <c r="I83" s="537">
        <f t="shared" si="21"/>
        <v>0</v>
      </c>
      <c r="J83" s="537">
        <f t="shared" si="21"/>
        <v>0</v>
      </c>
      <c r="K83" s="537">
        <f t="shared" si="21"/>
        <v>0</v>
      </c>
      <c r="L83" s="537">
        <f t="shared" si="22"/>
        <v>0</v>
      </c>
      <c r="M83" s="537">
        <f t="shared" si="22"/>
        <v>0</v>
      </c>
      <c r="N83" s="35"/>
      <c r="O83" s="25"/>
    </row>
    <row r="84" spans="2:15" x14ac:dyDescent="0.2">
      <c r="B84" s="21"/>
      <c r="C84" s="35"/>
      <c r="D84" s="534"/>
      <c r="E84" s="35"/>
      <c r="F84" s="186"/>
      <c r="G84" s="186"/>
      <c r="H84" s="537">
        <v>0</v>
      </c>
      <c r="I84" s="537">
        <f t="shared" si="21"/>
        <v>0</v>
      </c>
      <c r="J84" s="537">
        <f t="shared" si="21"/>
        <v>0</v>
      </c>
      <c r="K84" s="537">
        <f t="shared" si="21"/>
        <v>0</v>
      </c>
      <c r="L84" s="537">
        <f t="shared" si="22"/>
        <v>0</v>
      </c>
      <c r="M84" s="537">
        <f t="shared" si="22"/>
        <v>0</v>
      </c>
      <c r="N84" s="35"/>
      <c r="O84" s="25"/>
    </row>
    <row r="85" spans="2:15" x14ac:dyDescent="0.2">
      <c r="B85" s="21"/>
      <c r="C85" s="35"/>
      <c r="D85" s="534"/>
      <c r="E85" s="35"/>
      <c r="F85" s="186"/>
      <c r="G85" s="186"/>
      <c r="H85" s="537">
        <v>0</v>
      </c>
      <c r="I85" s="537">
        <f t="shared" si="21"/>
        <v>0</v>
      </c>
      <c r="J85" s="537">
        <f t="shared" si="21"/>
        <v>0</v>
      </c>
      <c r="K85" s="537">
        <f t="shared" si="21"/>
        <v>0</v>
      </c>
      <c r="L85" s="537">
        <f t="shared" si="22"/>
        <v>0</v>
      </c>
      <c r="M85" s="537">
        <f t="shared" si="22"/>
        <v>0</v>
      </c>
      <c r="N85" s="35"/>
      <c r="O85" s="25"/>
    </row>
    <row r="86" spans="2:15" x14ac:dyDescent="0.2">
      <c r="B86" s="21"/>
      <c r="C86" s="35"/>
      <c r="D86" s="534"/>
      <c r="E86" s="35"/>
      <c r="F86" s="186"/>
      <c r="G86" s="186"/>
      <c r="H86" s="537">
        <v>0</v>
      </c>
      <c r="I86" s="537">
        <f t="shared" si="21"/>
        <v>0</v>
      </c>
      <c r="J86" s="537">
        <f t="shared" si="21"/>
        <v>0</v>
      </c>
      <c r="K86" s="537">
        <f>J86</f>
        <v>0</v>
      </c>
      <c r="L86" s="537">
        <f t="shared" si="22"/>
        <v>0</v>
      </c>
      <c r="M86" s="537">
        <f t="shared" si="22"/>
        <v>0</v>
      </c>
      <c r="N86" s="35"/>
      <c r="O86" s="25"/>
    </row>
    <row r="87" spans="2:15" x14ac:dyDescent="0.2">
      <c r="B87" s="21"/>
      <c r="C87" s="35"/>
      <c r="D87" s="37"/>
      <c r="E87" s="35"/>
      <c r="F87" s="186"/>
      <c r="G87" s="186"/>
      <c r="H87" s="544">
        <f t="shared" ref="H87:M87" si="23">SUM(H82:H86)</f>
        <v>0</v>
      </c>
      <c r="I87" s="544">
        <f t="shared" si="23"/>
        <v>0</v>
      </c>
      <c r="J87" s="544">
        <f t="shared" si="23"/>
        <v>0</v>
      </c>
      <c r="K87" s="544">
        <f t="shared" si="23"/>
        <v>0</v>
      </c>
      <c r="L87" s="544">
        <f t="shared" si="23"/>
        <v>0</v>
      </c>
      <c r="M87" s="544">
        <f t="shared" si="23"/>
        <v>0</v>
      </c>
      <c r="N87" s="35"/>
      <c r="O87" s="25"/>
    </row>
    <row r="88" spans="2:15" x14ac:dyDescent="0.2">
      <c r="B88" s="21"/>
      <c r="C88" s="35"/>
      <c r="D88" s="1561"/>
      <c r="E88" s="1562"/>
      <c r="F88" s="1563"/>
      <c r="G88" s="1563"/>
      <c r="H88" s="1564"/>
      <c r="I88" s="1563"/>
      <c r="J88" s="1563"/>
      <c r="K88" s="1563"/>
      <c r="L88" s="1563"/>
      <c r="M88" s="1563"/>
      <c r="N88" s="35"/>
      <c r="O88" s="25"/>
    </row>
    <row r="89" spans="2:15" x14ac:dyDescent="0.2">
      <c r="B89" s="21"/>
      <c r="C89" s="35"/>
      <c r="D89" s="1565"/>
      <c r="E89" s="1566"/>
      <c r="F89" s="1567"/>
      <c r="G89" s="1567"/>
      <c r="H89" s="1568"/>
      <c r="I89" s="1567"/>
      <c r="J89" s="1567"/>
      <c r="K89" s="1567"/>
      <c r="L89" s="1567"/>
      <c r="M89" s="1567"/>
      <c r="N89" s="35"/>
      <c r="O89" s="25"/>
    </row>
    <row r="90" spans="2:15" x14ac:dyDescent="0.2">
      <c r="B90" s="21"/>
      <c r="C90" s="35"/>
      <c r="D90" s="199" t="s">
        <v>64</v>
      </c>
      <c r="E90" s="35"/>
      <c r="F90" s="186"/>
      <c r="G90" s="186"/>
      <c r="H90" s="1268"/>
      <c r="I90" s="186"/>
      <c r="J90" s="186"/>
      <c r="K90" s="186"/>
      <c r="L90" s="186"/>
      <c r="M90" s="186"/>
      <c r="N90" s="35"/>
      <c r="O90" s="25"/>
    </row>
    <row r="91" spans="2:15" x14ac:dyDescent="0.2">
      <c r="B91" s="21"/>
      <c r="C91" s="35"/>
      <c r="D91" s="534" t="s">
        <v>203</v>
      </c>
      <c r="E91" s="35"/>
      <c r="F91" s="186"/>
      <c r="G91" s="186"/>
      <c r="H91" s="537">
        <v>0</v>
      </c>
      <c r="I91" s="537">
        <f t="shared" ref="I91:J95" si="24">H91</f>
        <v>0</v>
      </c>
      <c r="J91" s="537">
        <f t="shared" si="24"/>
        <v>0</v>
      </c>
      <c r="K91" s="537">
        <f t="shared" ref="K91:M95" si="25">J91</f>
        <v>0</v>
      </c>
      <c r="L91" s="537">
        <f t="shared" si="25"/>
        <v>0</v>
      </c>
      <c r="M91" s="537">
        <f t="shared" si="25"/>
        <v>0</v>
      </c>
      <c r="N91" s="35"/>
      <c r="O91" s="25"/>
    </row>
    <row r="92" spans="2:15" x14ac:dyDescent="0.2">
      <c r="B92" s="21"/>
      <c r="C92" s="35"/>
      <c r="D92" s="534"/>
      <c r="E92" s="35"/>
      <c r="F92" s="186"/>
      <c r="G92" s="186"/>
      <c r="H92" s="537">
        <v>0</v>
      </c>
      <c r="I92" s="537">
        <f t="shared" si="24"/>
        <v>0</v>
      </c>
      <c r="J92" s="537">
        <f t="shared" si="24"/>
        <v>0</v>
      </c>
      <c r="K92" s="537">
        <f t="shared" si="25"/>
        <v>0</v>
      </c>
      <c r="L92" s="537">
        <f t="shared" si="25"/>
        <v>0</v>
      </c>
      <c r="M92" s="537">
        <f t="shared" si="25"/>
        <v>0</v>
      </c>
      <c r="N92" s="35"/>
      <c r="O92" s="25"/>
    </row>
    <row r="93" spans="2:15" x14ac:dyDescent="0.2">
      <c r="B93" s="21"/>
      <c r="C93" s="35"/>
      <c r="D93" s="534"/>
      <c r="E93" s="35"/>
      <c r="F93" s="186"/>
      <c r="G93" s="186"/>
      <c r="H93" s="537">
        <v>0</v>
      </c>
      <c r="I93" s="537">
        <f t="shared" si="24"/>
        <v>0</v>
      </c>
      <c r="J93" s="537">
        <f t="shared" si="24"/>
        <v>0</v>
      </c>
      <c r="K93" s="537">
        <f t="shared" si="25"/>
        <v>0</v>
      </c>
      <c r="L93" s="537">
        <f t="shared" si="25"/>
        <v>0</v>
      </c>
      <c r="M93" s="537">
        <f t="shared" si="25"/>
        <v>0</v>
      </c>
      <c r="N93" s="35"/>
      <c r="O93" s="25"/>
    </row>
    <row r="94" spans="2:15" x14ac:dyDescent="0.2">
      <c r="B94" s="21"/>
      <c r="C94" s="35"/>
      <c r="D94" s="534"/>
      <c r="E94" s="35"/>
      <c r="F94" s="186"/>
      <c r="G94" s="186"/>
      <c r="H94" s="537">
        <v>0</v>
      </c>
      <c r="I94" s="537">
        <f t="shared" si="24"/>
        <v>0</v>
      </c>
      <c r="J94" s="537">
        <f t="shared" si="24"/>
        <v>0</v>
      </c>
      <c r="K94" s="537">
        <f t="shared" si="25"/>
        <v>0</v>
      </c>
      <c r="L94" s="537">
        <f t="shared" si="25"/>
        <v>0</v>
      </c>
      <c r="M94" s="537">
        <f t="shared" si="25"/>
        <v>0</v>
      </c>
      <c r="N94" s="35"/>
      <c r="O94" s="25"/>
    </row>
    <row r="95" spans="2:15" x14ac:dyDescent="0.2">
      <c r="B95" s="21"/>
      <c r="C95" s="35"/>
      <c r="D95" s="534"/>
      <c r="E95" s="35"/>
      <c r="F95" s="186"/>
      <c r="G95" s="186"/>
      <c r="H95" s="537">
        <v>0</v>
      </c>
      <c r="I95" s="537">
        <f t="shared" si="24"/>
        <v>0</v>
      </c>
      <c r="J95" s="537">
        <f t="shared" si="24"/>
        <v>0</v>
      </c>
      <c r="K95" s="537">
        <f t="shared" si="25"/>
        <v>0</v>
      </c>
      <c r="L95" s="537">
        <f t="shared" si="25"/>
        <v>0</v>
      </c>
      <c r="M95" s="537">
        <f t="shared" si="25"/>
        <v>0</v>
      </c>
      <c r="N95" s="35"/>
      <c r="O95" s="25"/>
    </row>
    <row r="96" spans="2:15" x14ac:dyDescent="0.2">
      <c r="B96" s="21"/>
      <c r="C96" s="35"/>
      <c r="D96" s="37"/>
      <c r="E96" s="35"/>
      <c r="F96" s="186"/>
      <c r="G96" s="186"/>
      <c r="H96" s="544">
        <f t="shared" ref="H96:M96" si="26">SUM(H91:H95)</f>
        <v>0</v>
      </c>
      <c r="I96" s="544">
        <f t="shared" si="26"/>
        <v>0</v>
      </c>
      <c r="J96" s="544">
        <f t="shared" si="26"/>
        <v>0</v>
      </c>
      <c r="K96" s="544">
        <f t="shared" si="26"/>
        <v>0</v>
      </c>
      <c r="L96" s="544">
        <f t="shared" si="26"/>
        <v>0</v>
      </c>
      <c r="M96" s="544">
        <f t="shared" si="26"/>
        <v>0</v>
      </c>
      <c r="N96" s="35"/>
      <c r="O96" s="25"/>
    </row>
    <row r="97" spans="2:15" x14ac:dyDescent="0.2">
      <c r="B97" s="21"/>
      <c r="C97" s="35"/>
      <c r="D97" s="539"/>
      <c r="E97" s="540"/>
      <c r="F97" s="541"/>
      <c r="G97" s="541"/>
      <c r="H97" s="541"/>
      <c r="I97" s="541"/>
      <c r="J97" s="541"/>
      <c r="K97" s="541"/>
      <c r="L97" s="541"/>
      <c r="M97" s="541"/>
      <c r="N97" s="35"/>
      <c r="O97" s="25"/>
    </row>
    <row r="98" spans="2:15" x14ac:dyDescent="0.2">
      <c r="B98" s="21"/>
      <c r="C98" s="35"/>
      <c r="D98" s="538"/>
      <c r="E98" s="508"/>
      <c r="F98" s="79"/>
      <c r="G98" s="1572"/>
      <c r="H98" s="79"/>
      <c r="I98" s="79"/>
      <c r="J98" s="79"/>
      <c r="K98" s="79"/>
      <c r="L98" s="79"/>
      <c r="M98" s="79"/>
      <c r="N98" s="35"/>
      <c r="O98" s="25"/>
    </row>
    <row r="99" spans="2:15" x14ac:dyDescent="0.2">
      <c r="B99" s="21"/>
      <c r="C99" s="35"/>
      <c r="D99" s="199" t="s">
        <v>95</v>
      </c>
      <c r="E99" s="35"/>
      <c r="F99" s="186"/>
      <c r="G99" s="186"/>
      <c r="H99" s="544">
        <f t="shared" ref="H99:M99" si="27">H87+H96</f>
        <v>0</v>
      </c>
      <c r="I99" s="544">
        <f t="shared" si="27"/>
        <v>0</v>
      </c>
      <c r="J99" s="544">
        <f t="shared" si="27"/>
        <v>0</v>
      </c>
      <c r="K99" s="544">
        <f t="shared" si="27"/>
        <v>0</v>
      </c>
      <c r="L99" s="544">
        <f t="shared" si="27"/>
        <v>0</v>
      </c>
      <c r="M99" s="544">
        <f t="shared" si="27"/>
        <v>0</v>
      </c>
      <c r="N99" s="35"/>
      <c r="O99" s="25"/>
    </row>
    <row r="100" spans="2:15" x14ac:dyDescent="0.2">
      <c r="B100" s="21"/>
      <c r="C100" s="6"/>
      <c r="D100" s="7"/>
      <c r="E100" s="6"/>
      <c r="F100" s="166"/>
      <c r="G100" s="166"/>
      <c r="H100" s="166"/>
      <c r="I100" s="166"/>
      <c r="J100" s="166"/>
      <c r="K100" s="166"/>
      <c r="L100" s="166"/>
      <c r="M100" s="166"/>
      <c r="N100" s="6"/>
      <c r="O100" s="25"/>
    </row>
    <row r="101" spans="2:15" x14ac:dyDescent="0.2">
      <c r="B101" s="21"/>
      <c r="C101" s="181"/>
      <c r="D101" s="218"/>
      <c r="E101" s="181"/>
      <c r="F101" s="182"/>
      <c r="G101" s="182"/>
      <c r="H101" s="182"/>
      <c r="I101" s="182"/>
      <c r="J101" s="182"/>
      <c r="K101" s="182"/>
      <c r="L101" s="182"/>
      <c r="M101" s="182"/>
      <c r="N101" s="181"/>
      <c r="O101" s="25"/>
    </row>
    <row r="102" spans="2:15" x14ac:dyDescent="0.2">
      <c r="B102" s="21"/>
      <c r="C102" s="35"/>
      <c r="D102" s="37"/>
      <c r="E102" s="35"/>
      <c r="F102" s="186"/>
      <c r="G102" s="186"/>
      <c r="H102" s="186"/>
      <c r="I102" s="186"/>
      <c r="J102" s="186"/>
      <c r="K102" s="186"/>
      <c r="L102" s="186"/>
      <c r="M102" s="186"/>
      <c r="N102" s="35"/>
      <c r="O102" s="25"/>
    </row>
    <row r="103" spans="2:15" x14ac:dyDescent="0.2">
      <c r="B103" s="21"/>
      <c r="C103" s="35"/>
      <c r="D103" s="604" t="s">
        <v>196</v>
      </c>
      <c r="E103" s="35"/>
      <c r="F103" s="186"/>
      <c r="G103" s="166"/>
      <c r="H103" s="630">
        <f t="shared" ref="H103:M103" si="28">+H8</f>
        <v>2015</v>
      </c>
      <c r="I103" s="630">
        <f t="shared" si="28"/>
        <v>2016</v>
      </c>
      <c r="J103" s="630">
        <f t="shared" si="28"/>
        <v>2017</v>
      </c>
      <c r="K103" s="630">
        <f t="shared" si="28"/>
        <v>2018</v>
      </c>
      <c r="L103" s="630">
        <f t="shared" si="28"/>
        <v>2019</v>
      </c>
      <c r="M103" s="630">
        <f t="shared" si="28"/>
        <v>2020</v>
      </c>
      <c r="N103" s="35"/>
      <c r="O103" s="25"/>
    </row>
    <row r="104" spans="2:15" x14ac:dyDescent="0.2">
      <c r="B104" s="21"/>
      <c r="C104" s="35"/>
      <c r="D104" s="189"/>
      <c r="E104" s="35"/>
      <c r="F104" s="186"/>
      <c r="G104" s="186"/>
      <c r="H104" s="186"/>
      <c r="I104" s="186"/>
      <c r="J104" s="186"/>
      <c r="K104" s="186"/>
      <c r="L104" s="186"/>
      <c r="M104" s="186"/>
      <c r="N104" s="35"/>
      <c r="O104" s="25"/>
    </row>
    <row r="105" spans="2:15" x14ac:dyDescent="0.2">
      <c r="B105" s="21"/>
      <c r="C105" s="35"/>
      <c r="D105" s="199" t="s">
        <v>63</v>
      </c>
      <c r="E105" s="35"/>
      <c r="F105" s="186"/>
      <c r="G105" s="186"/>
      <c r="H105" s="186"/>
      <c r="I105" s="186"/>
      <c r="J105" s="186"/>
      <c r="K105" s="186"/>
      <c r="L105" s="186"/>
      <c r="M105" s="186"/>
      <c r="N105" s="35"/>
      <c r="O105" s="25"/>
    </row>
    <row r="106" spans="2:15" x14ac:dyDescent="0.2">
      <c r="B106" s="936"/>
      <c r="C106" s="35"/>
      <c r="D106" s="199"/>
      <c r="E106" s="35"/>
      <c r="F106" s="186"/>
      <c r="G106" s="186"/>
      <c r="H106" s="186"/>
      <c r="I106" s="186"/>
      <c r="J106" s="186"/>
      <c r="K106" s="186"/>
      <c r="L106" s="186"/>
      <c r="M106" s="186"/>
      <c r="N106" s="35"/>
      <c r="O106" s="895"/>
    </row>
    <row r="107" spans="2:15" x14ac:dyDescent="0.2">
      <c r="B107" s="21"/>
      <c r="C107" s="35"/>
      <c r="D107" s="35" t="s">
        <v>197</v>
      </c>
      <c r="E107" s="35"/>
      <c r="F107" s="186"/>
      <c r="G107" s="186"/>
      <c r="H107" s="537">
        <v>0</v>
      </c>
      <c r="I107" s="537">
        <f t="shared" ref="I107:K111" si="29">H107</f>
        <v>0</v>
      </c>
      <c r="J107" s="537">
        <f>I107</f>
        <v>0</v>
      </c>
      <c r="K107" s="537">
        <f t="shared" si="29"/>
        <v>0</v>
      </c>
      <c r="L107" s="537">
        <f t="shared" ref="L107:M111" si="30">K107</f>
        <v>0</v>
      </c>
      <c r="M107" s="537">
        <f t="shared" si="30"/>
        <v>0</v>
      </c>
      <c r="N107" s="35"/>
      <c r="O107" s="25"/>
    </row>
    <row r="108" spans="2:15" x14ac:dyDescent="0.2">
      <c r="B108" s="21"/>
      <c r="C108" s="35"/>
      <c r="D108" s="598"/>
      <c r="E108" s="35"/>
      <c r="F108" s="186"/>
      <c r="G108" s="186"/>
      <c r="H108" s="537">
        <v>0</v>
      </c>
      <c r="I108" s="537">
        <f t="shared" si="29"/>
        <v>0</v>
      </c>
      <c r="J108" s="537">
        <f>I108</f>
        <v>0</v>
      </c>
      <c r="K108" s="537">
        <f t="shared" si="29"/>
        <v>0</v>
      </c>
      <c r="L108" s="537">
        <f t="shared" si="30"/>
        <v>0</v>
      </c>
      <c r="M108" s="537">
        <f t="shared" si="30"/>
        <v>0</v>
      </c>
      <c r="N108" s="35"/>
      <c r="O108" s="25"/>
    </row>
    <row r="109" spans="2:15" x14ac:dyDescent="0.2">
      <c r="B109" s="21"/>
      <c r="C109" s="35"/>
      <c r="D109" s="534"/>
      <c r="E109" s="35"/>
      <c r="F109" s="186"/>
      <c r="G109" s="186"/>
      <c r="H109" s="537">
        <v>0</v>
      </c>
      <c r="I109" s="537">
        <f t="shared" si="29"/>
        <v>0</v>
      </c>
      <c r="J109" s="537">
        <f>I109</f>
        <v>0</v>
      </c>
      <c r="K109" s="537">
        <f t="shared" si="29"/>
        <v>0</v>
      </c>
      <c r="L109" s="537">
        <f t="shared" si="30"/>
        <v>0</v>
      </c>
      <c r="M109" s="537">
        <f t="shared" si="30"/>
        <v>0</v>
      </c>
      <c r="N109" s="35"/>
      <c r="O109" s="25"/>
    </row>
    <row r="110" spans="2:15" x14ac:dyDescent="0.2">
      <c r="B110" s="21"/>
      <c r="C110" s="35"/>
      <c r="D110" s="534"/>
      <c r="E110" s="35"/>
      <c r="F110" s="186"/>
      <c r="G110" s="186"/>
      <c r="H110" s="537">
        <v>0</v>
      </c>
      <c r="I110" s="537">
        <f t="shared" si="29"/>
        <v>0</v>
      </c>
      <c r="J110" s="537">
        <f>I110</f>
        <v>0</v>
      </c>
      <c r="K110" s="537">
        <f t="shared" si="29"/>
        <v>0</v>
      </c>
      <c r="L110" s="537">
        <f t="shared" si="30"/>
        <v>0</v>
      </c>
      <c r="M110" s="537">
        <f t="shared" si="30"/>
        <v>0</v>
      </c>
      <c r="N110" s="35"/>
      <c r="O110" s="25"/>
    </row>
    <row r="111" spans="2:15" x14ac:dyDescent="0.2">
      <c r="B111" s="21"/>
      <c r="C111" s="35"/>
      <c r="D111" s="534"/>
      <c r="E111" s="35"/>
      <c r="F111" s="186"/>
      <c r="G111" s="186"/>
      <c r="H111" s="537">
        <v>0</v>
      </c>
      <c r="I111" s="537">
        <f t="shared" si="29"/>
        <v>0</v>
      </c>
      <c r="J111" s="537">
        <f>I111</f>
        <v>0</v>
      </c>
      <c r="K111" s="537">
        <f t="shared" si="29"/>
        <v>0</v>
      </c>
      <c r="L111" s="537">
        <f t="shared" si="30"/>
        <v>0</v>
      </c>
      <c r="M111" s="537">
        <f t="shared" si="30"/>
        <v>0</v>
      </c>
      <c r="N111" s="35"/>
      <c r="O111" s="25"/>
    </row>
    <row r="112" spans="2:15" x14ac:dyDescent="0.2">
      <c r="B112" s="21"/>
      <c r="C112" s="35"/>
      <c r="D112" s="37" t="s">
        <v>158</v>
      </c>
      <c r="E112" s="35"/>
      <c r="F112" s="186"/>
      <c r="G112" s="186"/>
      <c r="H112" s="544">
        <f t="shared" ref="H112:M112" si="31">SUM(H107:H111)</f>
        <v>0</v>
      </c>
      <c r="I112" s="544">
        <f t="shared" si="31"/>
        <v>0</v>
      </c>
      <c r="J112" s="544">
        <f t="shared" si="31"/>
        <v>0</v>
      </c>
      <c r="K112" s="544">
        <f t="shared" si="31"/>
        <v>0</v>
      </c>
      <c r="L112" s="544">
        <f t="shared" si="31"/>
        <v>0</v>
      </c>
      <c r="M112" s="544">
        <f t="shared" si="31"/>
        <v>0</v>
      </c>
      <c r="N112" s="35"/>
      <c r="O112" s="25"/>
    </row>
    <row r="113" spans="2:15" x14ac:dyDescent="0.2">
      <c r="B113" s="21"/>
      <c r="C113" s="35"/>
      <c r="D113" s="539"/>
      <c r="E113" s="540"/>
      <c r="F113" s="541"/>
      <c r="G113" s="541"/>
      <c r="H113" s="541"/>
      <c r="I113" s="541"/>
      <c r="J113" s="541"/>
      <c r="K113" s="541"/>
      <c r="L113" s="541"/>
      <c r="M113" s="541"/>
      <c r="N113" s="35"/>
      <c r="O113" s="25"/>
    </row>
    <row r="114" spans="2:15" x14ac:dyDescent="0.2">
      <c r="B114" s="21"/>
      <c r="C114" s="35"/>
      <c r="D114" s="538"/>
      <c r="E114" s="508"/>
      <c r="F114" s="79"/>
      <c r="G114" s="1572"/>
      <c r="H114" s="79"/>
      <c r="I114" s="79"/>
      <c r="J114" s="79"/>
      <c r="K114" s="79"/>
      <c r="L114" s="79"/>
      <c r="M114" s="79"/>
      <c r="N114" s="35"/>
      <c r="O114" s="25"/>
    </row>
    <row r="115" spans="2:15" x14ac:dyDescent="0.2">
      <c r="B115" s="21"/>
      <c r="C115" s="35"/>
      <c r="D115" s="199" t="s">
        <v>64</v>
      </c>
      <c r="E115" s="35"/>
      <c r="F115" s="186"/>
      <c r="G115" s="186"/>
      <c r="H115" s="186"/>
      <c r="I115" s="186"/>
      <c r="J115" s="186"/>
      <c r="K115" s="186"/>
      <c r="L115" s="186"/>
      <c r="M115" s="186"/>
      <c r="N115" s="35"/>
      <c r="O115" s="25"/>
    </row>
    <row r="116" spans="2:15" x14ac:dyDescent="0.2">
      <c r="B116" s="21"/>
      <c r="C116" s="35"/>
      <c r="D116" s="35" t="s">
        <v>197</v>
      </c>
      <c r="E116" s="35"/>
      <c r="F116" s="186"/>
      <c r="G116" s="186"/>
      <c r="H116" s="537">
        <v>0</v>
      </c>
      <c r="I116" s="588">
        <f t="shared" ref="I116:M116" si="32">+H116</f>
        <v>0</v>
      </c>
      <c r="J116" s="588">
        <f t="shared" si="32"/>
        <v>0</v>
      </c>
      <c r="K116" s="588">
        <f t="shared" si="32"/>
        <v>0</v>
      </c>
      <c r="L116" s="588">
        <f t="shared" si="32"/>
        <v>0</v>
      </c>
      <c r="M116" s="588">
        <f t="shared" si="32"/>
        <v>0</v>
      </c>
      <c r="N116" s="35"/>
      <c r="O116" s="25"/>
    </row>
    <row r="117" spans="2:15" x14ac:dyDescent="0.2">
      <c r="B117" s="21"/>
      <c r="C117" s="35"/>
      <c r="D117" s="534"/>
      <c r="E117" s="35"/>
      <c r="F117" s="186"/>
      <c r="G117" s="186"/>
      <c r="H117" s="537">
        <v>0</v>
      </c>
      <c r="I117" s="537">
        <f t="shared" ref="I117:K120" si="33">H117</f>
        <v>0</v>
      </c>
      <c r="J117" s="537">
        <f t="shared" si="33"/>
        <v>0</v>
      </c>
      <c r="K117" s="537">
        <f t="shared" si="33"/>
        <v>0</v>
      </c>
      <c r="L117" s="537">
        <f t="shared" ref="L117:M120" si="34">K117</f>
        <v>0</v>
      </c>
      <c r="M117" s="537">
        <f t="shared" si="34"/>
        <v>0</v>
      </c>
      <c r="N117" s="35"/>
      <c r="O117" s="25"/>
    </row>
    <row r="118" spans="2:15" x14ac:dyDescent="0.2">
      <c r="B118" s="21"/>
      <c r="C118" s="35"/>
      <c r="D118" s="534"/>
      <c r="E118" s="35"/>
      <c r="F118" s="186"/>
      <c r="G118" s="186"/>
      <c r="H118" s="537">
        <v>0</v>
      </c>
      <c r="I118" s="537">
        <f t="shared" si="33"/>
        <v>0</v>
      </c>
      <c r="J118" s="537">
        <f t="shared" si="33"/>
        <v>0</v>
      </c>
      <c r="K118" s="537">
        <f t="shared" si="33"/>
        <v>0</v>
      </c>
      <c r="L118" s="537">
        <f t="shared" si="34"/>
        <v>0</v>
      </c>
      <c r="M118" s="537">
        <f t="shared" si="34"/>
        <v>0</v>
      </c>
      <c r="N118" s="35"/>
      <c r="O118" s="25"/>
    </row>
    <row r="119" spans="2:15" x14ac:dyDescent="0.2">
      <c r="B119" s="21"/>
      <c r="C119" s="35"/>
      <c r="D119" s="534"/>
      <c r="E119" s="35"/>
      <c r="F119" s="186"/>
      <c r="G119" s="186"/>
      <c r="H119" s="537">
        <v>0</v>
      </c>
      <c r="I119" s="537">
        <f t="shared" si="33"/>
        <v>0</v>
      </c>
      <c r="J119" s="537">
        <f t="shared" si="33"/>
        <v>0</v>
      </c>
      <c r="K119" s="537">
        <f t="shared" si="33"/>
        <v>0</v>
      </c>
      <c r="L119" s="537">
        <f t="shared" si="34"/>
        <v>0</v>
      </c>
      <c r="M119" s="537">
        <f t="shared" si="34"/>
        <v>0</v>
      </c>
      <c r="N119" s="35"/>
      <c r="O119" s="25"/>
    </row>
    <row r="120" spans="2:15" x14ac:dyDescent="0.2">
      <c r="B120" s="21"/>
      <c r="C120" s="35"/>
      <c r="D120" s="534"/>
      <c r="E120" s="35"/>
      <c r="F120" s="186"/>
      <c r="G120" s="186"/>
      <c r="H120" s="537">
        <v>0</v>
      </c>
      <c r="I120" s="537">
        <f t="shared" si="33"/>
        <v>0</v>
      </c>
      <c r="J120" s="537">
        <f t="shared" si="33"/>
        <v>0</v>
      </c>
      <c r="K120" s="537">
        <f>J120</f>
        <v>0</v>
      </c>
      <c r="L120" s="537">
        <f t="shared" si="34"/>
        <v>0</v>
      </c>
      <c r="M120" s="537">
        <f t="shared" si="34"/>
        <v>0</v>
      </c>
      <c r="N120" s="35"/>
      <c r="O120" s="25"/>
    </row>
    <row r="121" spans="2:15" x14ac:dyDescent="0.2">
      <c r="B121" s="21"/>
      <c r="C121" s="35"/>
      <c r="D121" s="37" t="s">
        <v>158</v>
      </c>
      <c r="E121" s="35"/>
      <c r="F121" s="186"/>
      <c r="G121" s="186"/>
      <c r="H121" s="544">
        <f t="shared" ref="H121:M121" si="35">SUM(H116:H120)</f>
        <v>0</v>
      </c>
      <c r="I121" s="544">
        <f t="shared" si="35"/>
        <v>0</v>
      </c>
      <c r="J121" s="544">
        <f t="shared" si="35"/>
        <v>0</v>
      </c>
      <c r="K121" s="544">
        <f t="shared" si="35"/>
        <v>0</v>
      </c>
      <c r="L121" s="544">
        <f t="shared" si="35"/>
        <v>0</v>
      </c>
      <c r="M121" s="544">
        <f t="shared" si="35"/>
        <v>0</v>
      </c>
      <c r="N121" s="35"/>
      <c r="O121" s="25"/>
    </row>
    <row r="122" spans="2:15" x14ac:dyDescent="0.2">
      <c r="B122" s="21"/>
      <c r="C122" s="35"/>
      <c r="D122" s="539"/>
      <c r="E122" s="540"/>
      <c r="F122" s="541"/>
      <c r="G122" s="541"/>
      <c r="H122" s="541"/>
      <c r="I122" s="541"/>
      <c r="J122" s="541"/>
      <c r="K122" s="541"/>
      <c r="L122" s="541"/>
      <c r="M122" s="541"/>
      <c r="N122" s="35"/>
      <c r="O122" s="25"/>
    </row>
    <row r="123" spans="2:15" x14ac:dyDescent="0.2">
      <c r="B123" s="21"/>
      <c r="C123" s="35"/>
      <c r="D123" s="538"/>
      <c r="E123" s="508"/>
      <c r="F123" s="79"/>
      <c r="G123" s="1572"/>
      <c r="H123" s="79"/>
      <c r="I123" s="79"/>
      <c r="J123" s="79"/>
      <c r="K123" s="79"/>
      <c r="L123" s="79"/>
      <c r="M123" s="79"/>
      <c r="N123" s="35"/>
      <c r="O123" s="25"/>
    </row>
    <row r="124" spans="2:15" x14ac:dyDescent="0.2">
      <c r="B124" s="21"/>
      <c r="C124" s="35"/>
      <c r="D124" s="37"/>
      <c r="E124" s="35"/>
      <c r="F124" s="186"/>
      <c r="G124" s="186"/>
      <c r="H124" s="544">
        <f t="shared" ref="H124:M124" si="36">H112+H121</f>
        <v>0</v>
      </c>
      <c r="I124" s="544">
        <f t="shared" si="36"/>
        <v>0</v>
      </c>
      <c r="J124" s="544">
        <f t="shared" si="36"/>
        <v>0</v>
      </c>
      <c r="K124" s="544">
        <f t="shared" si="36"/>
        <v>0</v>
      </c>
      <c r="L124" s="544">
        <f t="shared" si="36"/>
        <v>0</v>
      </c>
      <c r="M124" s="544">
        <f t="shared" si="36"/>
        <v>0</v>
      </c>
      <c r="N124" s="35"/>
      <c r="O124" s="25"/>
    </row>
    <row r="125" spans="2:15" x14ac:dyDescent="0.2">
      <c r="B125" s="21"/>
      <c r="C125" s="35"/>
      <c r="D125" s="37"/>
      <c r="E125" s="35"/>
      <c r="F125" s="186"/>
      <c r="G125" s="186"/>
      <c r="H125" s="186"/>
      <c r="I125" s="186"/>
      <c r="J125" s="186"/>
      <c r="K125" s="186"/>
      <c r="L125" s="186"/>
      <c r="M125" s="186"/>
      <c r="N125" s="35"/>
      <c r="O125" s="25"/>
    </row>
    <row r="126" spans="2:15" x14ac:dyDescent="0.2">
      <c r="B126" s="21"/>
      <c r="C126" s="181"/>
      <c r="D126" s="218"/>
      <c r="E126" s="181"/>
      <c r="F126" s="182"/>
      <c r="G126" s="182"/>
      <c r="H126" s="182"/>
      <c r="I126" s="182"/>
      <c r="J126" s="182"/>
      <c r="K126" s="182"/>
      <c r="L126" s="182"/>
      <c r="M126" s="182"/>
      <c r="N126" s="181"/>
      <c r="O126" s="25"/>
    </row>
    <row r="127" spans="2:15" x14ac:dyDescent="0.2">
      <c r="B127" s="21"/>
      <c r="C127" s="35"/>
      <c r="D127" s="37"/>
      <c r="E127" s="35"/>
      <c r="F127" s="186"/>
      <c r="G127" s="186"/>
      <c r="H127" s="186"/>
      <c r="I127" s="186"/>
      <c r="J127" s="186"/>
      <c r="K127" s="186"/>
      <c r="L127" s="186"/>
      <c r="M127" s="186"/>
      <c r="N127" s="35"/>
      <c r="O127" s="25"/>
    </row>
    <row r="128" spans="2:15" x14ac:dyDescent="0.2">
      <c r="B128" s="21"/>
      <c r="C128" s="35"/>
      <c r="D128" s="37" t="s">
        <v>199</v>
      </c>
      <c r="E128" s="35"/>
      <c r="F128" s="186"/>
      <c r="G128" s="186"/>
      <c r="H128" s="544">
        <f>H73+H99+H124</f>
        <v>0</v>
      </c>
      <c r="I128" s="544">
        <f t="shared" ref="I128:M128" si="37">I75+I99+I124</f>
        <v>0</v>
      </c>
      <c r="J128" s="544">
        <f t="shared" si="37"/>
        <v>0</v>
      </c>
      <c r="K128" s="544">
        <f t="shared" si="37"/>
        <v>0</v>
      </c>
      <c r="L128" s="544">
        <f t="shared" si="37"/>
        <v>0</v>
      </c>
      <c r="M128" s="544">
        <f t="shared" si="37"/>
        <v>0</v>
      </c>
      <c r="N128" s="35"/>
      <c r="O128" s="25"/>
    </row>
    <row r="129" spans="2:15" x14ac:dyDescent="0.2">
      <c r="B129" s="21"/>
      <c r="C129" s="35"/>
      <c r="D129" s="37"/>
      <c r="E129" s="35"/>
      <c r="F129" s="186"/>
      <c r="G129" s="186"/>
      <c r="H129" s="186"/>
      <c r="I129" s="186"/>
      <c r="J129" s="186"/>
      <c r="K129" s="186"/>
      <c r="L129" s="186"/>
      <c r="M129" s="186"/>
      <c r="N129" s="35"/>
      <c r="O129" s="25"/>
    </row>
    <row r="130" spans="2:15" x14ac:dyDescent="0.2">
      <c r="B130" s="21"/>
      <c r="C130" s="181"/>
      <c r="D130" s="218"/>
      <c r="E130" s="181"/>
      <c r="F130" s="182"/>
      <c r="G130" s="182"/>
      <c r="H130" s="182"/>
      <c r="I130" s="182"/>
      <c r="J130" s="182"/>
      <c r="K130" s="182"/>
      <c r="L130" s="182"/>
      <c r="M130" s="182"/>
      <c r="N130" s="181"/>
      <c r="O130" s="25"/>
    </row>
    <row r="131" spans="2:15" x14ac:dyDescent="0.2">
      <c r="B131" s="183"/>
      <c r="C131" s="205"/>
      <c r="D131" s="219"/>
      <c r="E131" s="205"/>
      <c r="F131" s="206"/>
      <c r="G131" s="1574"/>
      <c r="H131" s="206"/>
      <c r="I131" s="206"/>
      <c r="J131" s="206"/>
      <c r="K131" s="206"/>
      <c r="L131" s="206"/>
      <c r="M131" s="206"/>
      <c r="N131" s="205"/>
      <c r="O131" s="185"/>
    </row>
    <row r="132" spans="2:15" x14ac:dyDescent="0.2">
      <c r="B132" s="18"/>
      <c r="C132" s="207"/>
      <c r="D132" s="220"/>
      <c r="E132" s="207"/>
      <c r="F132" s="208"/>
      <c r="G132" s="208"/>
      <c r="H132" s="208"/>
      <c r="I132" s="208"/>
      <c r="J132" s="208"/>
      <c r="K132" s="208"/>
      <c r="L132" s="208"/>
      <c r="M132" s="208"/>
      <c r="N132" s="207"/>
      <c r="O132" s="20"/>
    </row>
    <row r="133" spans="2:15" x14ac:dyDescent="0.2">
      <c r="B133" s="21"/>
      <c r="C133" s="181"/>
      <c r="D133" s="218"/>
      <c r="E133" s="181"/>
      <c r="F133" s="182"/>
      <c r="G133" s="182"/>
      <c r="H133" s="223"/>
      <c r="I133" s="223"/>
      <c r="J133" s="223"/>
      <c r="K133" s="223"/>
      <c r="L133" s="223"/>
      <c r="M133" s="223"/>
      <c r="N133" s="181"/>
      <c r="O133" s="25"/>
    </row>
    <row r="134" spans="2:15" x14ac:dyDescent="0.2">
      <c r="B134" s="21"/>
      <c r="C134" s="181"/>
      <c r="D134" s="218"/>
      <c r="E134" s="181"/>
      <c r="F134" s="182"/>
      <c r="G134" s="182"/>
      <c r="H134" s="728">
        <f t="shared" ref="H134:M134" si="38">H8</f>
        <v>2015</v>
      </c>
      <c r="I134" s="596">
        <f t="shared" si="38"/>
        <v>2016</v>
      </c>
      <c r="J134" s="596">
        <f t="shared" si="38"/>
        <v>2017</v>
      </c>
      <c r="K134" s="596">
        <f t="shared" si="38"/>
        <v>2018</v>
      </c>
      <c r="L134" s="596">
        <f t="shared" si="38"/>
        <v>2019</v>
      </c>
      <c r="M134" s="596">
        <f t="shared" si="38"/>
        <v>2020</v>
      </c>
      <c r="N134" s="181"/>
      <c r="O134" s="25"/>
    </row>
    <row r="135" spans="2:15" x14ac:dyDescent="0.2">
      <c r="B135" s="21"/>
      <c r="C135" s="181"/>
      <c r="D135" s="218"/>
      <c r="E135" s="181"/>
      <c r="F135" s="182"/>
      <c r="G135" s="182"/>
      <c r="H135" s="182"/>
      <c r="I135" s="182"/>
      <c r="J135" s="182"/>
      <c r="K135" s="182"/>
      <c r="L135" s="182"/>
      <c r="M135" s="182"/>
      <c r="N135" s="181"/>
      <c r="O135" s="25"/>
    </row>
    <row r="136" spans="2:15" x14ac:dyDescent="0.2">
      <c r="B136" s="21"/>
      <c r="C136" s="35"/>
      <c r="D136" s="35"/>
      <c r="E136" s="35"/>
      <c r="F136" s="186"/>
      <c r="G136" s="939"/>
      <c r="H136" s="186"/>
      <c r="I136" s="186"/>
      <c r="J136" s="186"/>
      <c r="K136" s="186"/>
      <c r="L136" s="186"/>
      <c r="M136" s="186"/>
      <c r="N136" s="35"/>
      <c r="O136" s="25"/>
    </row>
    <row r="137" spans="2:15" x14ac:dyDescent="0.2">
      <c r="B137" s="21"/>
      <c r="C137" s="35"/>
      <c r="D137" s="604" t="s">
        <v>34</v>
      </c>
      <c r="E137" s="35"/>
      <c r="F137" s="186"/>
      <c r="G137" s="939"/>
      <c r="H137" s="186"/>
      <c r="I137" s="186"/>
      <c r="J137" s="186"/>
      <c r="K137" s="186"/>
      <c r="L137" s="186"/>
      <c r="M137" s="186"/>
      <c r="N137" s="35"/>
      <c r="O137" s="25"/>
    </row>
    <row r="138" spans="2:15" x14ac:dyDescent="0.2">
      <c r="B138" s="21"/>
      <c r="C138" s="35"/>
      <c r="D138" s="37"/>
      <c r="E138" s="35"/>
      <c r="F138" s="186"/>
      <c r="G138" s="939"/>
      <c r="H138" s="186"/>
      <c r="I138" s="186"/>
      <c r="J138" s="186"/>
      <c r="K138" s="186"/>
      <c r="L138" s="186"/>
      <c r="M138" s="186"/>
      <c r="N138" s="35"/>
      <c r="O138" s="25"/>
    </row>
    <row r="139" spans="2:15" x14ac:dyDescent="0.2">
      <c r="B139" s="21"/>
      <c r="C139" s="35"/>
      <c r="D139" s="199"/>
      <c r="E139" s="35"/>
      <c r="F139" s="211" t="s">
        <v>243</v>
      </c>
      <c r="G139" s="1575"/>
      <c r="H139" s="186"/>
      <c r="I139" s="186"/>
      <c r="J139" s="186"/>
      <c r="K139" s="186"/>
      <c r="L139" s="186"/>
      <c r="M139" s="186"/>
      <c r="N139" s="35"/>
      <c r="O139" s="25"/>
    </row>
    <row r="140" spans="2:15" x14ac:dyDescent="0.2">
      <c r="B140" s="21"/>
      <c r="C140" s="35"/>
      <c r="D140" s="199"/>
      <c r="E140" s="35"/>
      <c r="F140" s="186"/>
      <c r="G140" s="939"/>
      <c r="H140" s="186"/>
      <c r="I140" s="186"/>
      <c r="J140" s="186"/>
      <c r="K140" s="186"/>
      <c r="L140" s="186"/>
      <c r="M140" s="186"/>
      <c r="N140" s="35"/>
      <c r="O140" s="25"/>
    </row>
    <row r="141" spans="2:15" x14ac:dyDescent="0.2">
      <c r="B141" s="21"/>
      <c r="C141" s="35"/>
      <c r="D141" s="35" t="s">
        <v>390</v>
      </c>
      <c r="E141" s="35"/>
      <c r="F141" s="43"/>
      <c r="G141" s="1576"/>
      <c r="H141" s="547">
        <f>7/12*'sal SWV'!U35+5/12*'sal SWV'!U67</f>
        <v>0</v>
      </c>
      <c r="I141" s="547">
        <f>7/12*'sal SWV'!U67+5/12*'sal SWV'!U99</f>
        <v>0</v>
      </c>
      <c r="J141" s="547">
        <f>7/12*'sal SWV'!U99+5/12*'sal SWV'!U131</f>
        <v>0</v>
      </c>
      <c r="K141" s="547">
        <f>7/12*'sal SWV'!U131+5/12*'sal SWV'!U163</f>
        <v>0</v>
      </c>
      <c r="L141" s="547">
        <f>7/12*'sal SWV'!U163+5/12*'sal SWV'!U195</f>
        <v>0</v>
      </c>
      <c r="M141" s="547">
        <f>7/12*'sal SWV'!U195+5/12*'sal SWV'!U227</f>
        <v>0</v>
      </c>
      <c r="N141" s="35"/>
      <c r="O141" s="25"/>
    </row>
    <row r="142" spans="2:15" x14ac:dyDescent="0.2">
      <c r="B142" s="21"/>
      <c r="C142" s="35"/>
      <c r="D142" s="199"/>
      <c r="E142" s="35"/>
      <c r="F142" s="186"/>
      <c r="G142" s="939"/>
      <c r="H142" s="186"/>
      <c r="I142" s="186"/>
      <c r="J142" s="186"/>
      <c r="K142" s="186"/>
      <c r="L142" s="186"/>
      <c r="M142" s="186"/>
      <c r="N142" s="35"/>
      <c r="O142" s="25"/>
    </row>
    <row r="143" spans="2:15" x14ac:dyDescent="0.2">
      <c r="B143" s="21"/>
      <c r="C143" s="35"/>
      <c r="D143" s="199" t="s">
        <v>63</v>
      </c>
      <c r="E143" s="35"/>
      <c r="F143" s="186"/>
      <c r="G143" s="1023"/>
      <c r="H143" s="1168">
        <f>+tab!E4</f>
        <v>2015</v>
      </c>
      <c r="I143" s="1168">
        <f>+tab!F4</f>
        <v>2016</v>
      </c>
      <c r="J143" s="1168">
        <f>+tab!G4</f>
        <v>2017</v>
      </c>
      <c r="K143" s="1168">
        <f>+tab!H4</f>
        <v>2018</v>
      </c>
      <c r="L143" s="1168">
        <f>+tab!I4</f>
        <v>2019</v>
      </c>
      <c r="M143" s="1168">
        <f>+tab!J4</f>
        <v>2020</v>
      </c>
      <c r="N143" s="35"/>
      <c r="O143" s="25"/>
    </row>
    <row r="144" spans="2:15" x14ac:dyDescent="0.2">
      <c r="B144" s="21"/>
      <c r="C144" s="35"/>
      <c r="D144" s="199"/>
      <c r="E144" s="35"/>
      <c r="F144" s="186"/>
      <c r="G144" s="939"/>
      <c r="H144" s="941"/>
      <c r="I144" s="186"/>
      <c r="J144" s="186"/>
      <c r="K144" s="186"/>
      <c r="L144" s="186"/>
      <c r="M144" s="186"/>
      <c r="N144" s="35"/>
      <c r="O144" s="25"/>
    </row>
    <row r="145" spans="2:15" x14ac:dyDescent="0.2">
      <c r="B145" s="21"/>
      <c r="C145" s="35"/>
      <c r="D145" s="199" t="s">
        <v>946</v>
      </c>
      <c r="E145" s="35"/>
      <c r="F145" s="1159"/>
      <c r="G145" s="1576"/>
      <c r="H145" s="1051"/>
      <c r="I145" s="940">
        <f>+'LWOO-PRO'!O11</f>
        <v>0</v>
      </c>
      <c r="J145" s="940">
        <f>+'LWOO-PRO'!P11</f>
        <v>0</v>
      </c>
      <c r="K145" s="940">
        <f>+'LWOO-PRO'!Q11</f>
        <v>0</v>
      </c>
      <c r="L145" s="940">
        <f>+'LWOO-PRO'!R11</f>
        <v>0</v>
      </c>
      <c r="M145" s="940">
        <f>+'LWOO-PRO'!S11</f>
        <v>0</v>
      </c>
      <c r="N145" s="35"/>
      <c r="O145" s="895"/>
    </row>
    <row r="146" spans="2:15" x14ac:dyDescent="0.2">
      <c r="B146" s="21"/>
      <c r="C146" s="35"/>
      <c r="D146" s="199" t="s">
        <v>947</v>
      </c>
      <c r="E146" s="35"/>
      <c r="F146" s="1159"/>
      <c r="G146" s="1576"/>
      <c r="H146" s="1051"/>
      <c r="I146" s="940">
        <f>+'LWOO-PRO'!O14</f>
        <v>0</v>
      </c>
      <c r="J146" s="940">
        <f>+'LWOO-PRO'!P14</f>
        <v>0</v>
      </c>
      <c r="K146" s="940">
        <f>+'LWOO-PRO'!Q14</f>
        <v>0</v>
      </c>
      <c r="L146" s="940">
        <f>+'LWOO-PRO'!R14</f>
        <v>0</v>
      </c>
      <c r="M146" s="940">
        <f>+'LWOO-PRO'!S14</f>
        <v>0</v>
      </c>
      <c r="N146" s="35"/>
      <c r="O146" s="895"/>
    </row>
    <row r="147" spans="2:15" x14ac:dyDescent="0.2">
      <c r="B147" s="21"/>
      <c r="C147" s="35"/>
      <c r="D147" s="199" t="s">
        <v>948</v>
      </c>
      <c r="E147" s="35"/>
      <c r="F147" s="186"/>
      <c r="G147" s="939"/>
      <c r="H147" s="963"/>
      <c r="I147" s="943">
        <f>SUM(I145:I146)</f>
        <v>0</v>
      </c>
      <c r="J147" s="943">
        <f t="shared" ref="J147:M147" si="39">SUM(J145:J146)</f>
        <v>0</v>
      </c>
      <c r="K147" s="943">
        <f t="shared" si="39"/>
        <v>0</v>
      </c>
      <c r="L147" s="943">
        <f t="shared" si="39"/>
        <v>0</v>
      </c>
      <c r="M147" s="943">
        <f t="shared" si="39"/>
        <v>0</v>
      </c>
      <c r="N147" s="35"/>
      <c r="O147" s="895"/>
    </row>
    <row r="148" spans="2:15" x14ac:dyDescent="0.2">
      <c r="B148" s="21"/>
      <c r="C148" s="35"/>
      <c r="D148" s="38" t="s">
        <v>200</v>
      </c>
      <c r="E148" s="35"/>
      <c r="F148" s="186"/>
      <c r="G148" s="939"/>
      <c r="H148" s="186"/>
      <c r="I148" s="186"/>
      <c r="J148" s="186"/>
      <c r="K148" s="186"/>
      <c r="L148" s="186"/>
      <c r="M148" s="186"/>
      <c r="N148" s="35"/>
      <c r="O148" s="25"/>
    </row>
    <row r="149" spans="2:15" x14ac:dyDescent="0.2">
      <c r="B149" s="21"/>
      <c r="C149" s="35"/>
      <c r="D149" s="191" t="s">
        <v>391</v>
      </c>
      <c r="E149" s="35"/>
      <c r="F149" s="43"/>
      <c r="G149" s="1576"/>
      <c r="H149" s="537">
        <v>0</v>
      </c>
      <c r="I149" s="542">
        <f t="shared" ref="I149:K160" si="40">H149</f>
        <v>0</v>
      </c>
      <c r="J149" s="542">
        <f t="shared" si="40"/>
        <v>0</v>
      </c>
      <c r="K149" s="542">
        <f t="shared" ref="K149:K157" si="41">J149</f>
        <v>0</v>
      </c>
      <c r="L149" s="542">
        <f t="shared" ref="L149:L160" si="42">K149</f>
        <v>0</v>
      </c>
      <c r="M149" s="542">
        <f t="shared" ref="M149:M160" si="43">L149</f>
        <v>0</v>
      </c>
      <c r="N149" s="35"/>
      <c r="O149" s="25"/>
    </row>
    <row r="150" spans="2:15" x14ac:dyDescent="0.2">
      <c r="B150" s="21"/>
      <c r="C150" s="35"/>
      <c r="D150" s="535"/>
      <c r="E150" s="35"/>
      <c r="F150" s="43"/>
      <c r="G150" s="1576"/>
      <c r="H150" s="537">
        <v>0</v>
      </c>
      <c r="I150" s="542">
        <f t="shared" si="40"/>
        <v>0</v>
      </c>
      <c r="J150" s="542">
        <f t="shared" si="40"/>
        <v>0</v>
      </c>
      <c r="K150" s="542">
        <f t="shared" si="41"/>
        <v>0</v>
      </c>
      <c r="L150" s="542">
        <f t="shared" si="42"/>
        <v>0</v>
      </c>
      <c r="M150" s="542">
        <f t="shared" si="43"/>
        <v>0</v>
      </c>
      <c r="N150" s="35"/>
      <c r="O150" s="25"/>
    </row>
    <row r="151" spans="2:15" x14ac:dyDescent="0.2">
      <c r="B151" s="21"/>
      <c r="C151" s="35"/>
      <c r="D151" s="535"/>
      <c r="E151" s="35"/>
      <c r="F151" s="43"/>
      <c r="G151" s="1576"/>
      <c r="H151" s="537">
        <v>0</v>
      </c>
      <c r="I151" s="542">
        <f t="shared" si="40"/>
        <v>0</v>
      </c>
      <c r="J151" s="542">
        <f t="shared" si="40"/>
        <v>0</v>
      </c>
      <c r="K151" s="542">
        <f t="shared" si="41"/>
        <v>0</v>
      </c>
      <c r="L151" s="542">
        <f t="shared" si="42"/>
        <v>0</v>
      </c>
      <c r="M151" s="542">
        <f t="shared" si="43"/>
        <v>0</v>
      </c>
      <c r="N151" s="35"/>
      <c r="O151" s="25"/>
    </row>
    <row r="152" spans="2:15" x14ac:dyDescent="0.2">
      <c r="B152" s="21"/>
      <c r="C152" s="35"/>
      <c r="D152" s="535"/>
      <c r="E152" s="35"/>
      <c r="F152" s="43"/>
      <c r="G152" s="1576"/>
      <c r="H152" s="537">
        <v>0</v>
      </c>
      <c r="I152" s="542">
        <f t="shared" si="40"/>
        <v>0</v>
      </c>
      <c r="J152" s="542">
        <f t="shared" si="40"/>
        <v>0</v>
      </c>
      <c r="K152" s="542">
        <f t="shared" si="41"/>
        <v>0</v>
      </c>
      <c r="L152" s="542">
        <f t="shared" si="42"/>
        <v>0</v>
      </c>
      <c r="M152" s="542">
        <f t="shared" si="43"/>
        <v>0</v>
      </c>
      <c r="N152" s="35"/>
      <c r="O152" s="25"/>
    </row>
    <row r="153" spans="2:15" x14ac:dyDescent="0.2">
      <c r="B153" s="21"/>
      <c r="C153" s="35"/>
      <c r="D153" s="534"/>
      <c r="E153" s="35"/>
      <c r="F153" s="43"/>
      <c r="G153" s="1576"/>
      <c r="H153" s="537">
        <v>0</v>
      </c>
      <c r="I153" s="542">
        <f t="shared" si="40"/>
        <v>0</v>
      </c>
      <c r="J153" s="542">
        <f t="shared" si="40"/>
        <v>0</v>
      </c>
      <c r="K153" s="542">
        <f t="shared" si="41"/>
        <v>0</v>
      </c>
      <c r="L153" s="542">
        <f t="shared" si="42"/>
        <v>0</v>
      </c>
      <c r="M153" s="542">
        <f t="shared" si="43"/>
        <v>0</v>
      </c>
      <c r="N153" s="35"/>
      <c r="O153" s="25"/>
    </row>
    <row r="154" spans="2:15" x14ac:dyDescent="0.2">
      <c r="B154" s="21"/>
      <c r="C154" s="35"/>
      <c r="D154" s="534"/>
      <c r="E154" s="35"/>
      <c r="F154" s="43"/>
      <c r="G154" s="1576"/>
      <c r="H154" s="537">
        <v>0</v>
      </c>
      <c r="I154" s="542">
        <f t="shared" si="40"/>
        <v>0</v>
      </c>
      <c r="J154" s="542">
        <f t="shared" si="40"/>
        <v>0</v>
      </c>
      <c r="K154" s="542">
        <f t="shared" si="41"/>
        <v>0</v>
      </c>
      <c r="L154" s="542">
        <f t="shared" si="42"/>
        <v>0</v>
      </c>
      <c r="M154" s="542">
        <f t="shared" si="43"/>
        <v>0</v>
      </c>
      <c r="N154" s="35"/>
      <c r="O154" s="25"/>
    </row>
    <row r="155" spans="2:15" x14ac:dyDescent="0.2">
      <c r="B155" s="21"/>
      <c r="C155" s="35"/>
      <c r="D155" s="535"/>
      <c r="E155" s="35"/>
      <c r="F155" s="43"/>
      <c r="G155" s="1576"/>
      <c r="H155" s="537">
        <v>0</v>
      </c>
      <c r="I155" s="542">
        <f t="shared" si="40"/>
        <v>0</v>
      </c>
      <c r="J155" s="542">
        <f t="shared" si="40"/>
        <v>0</v>
      </c>
      <c r="K155" s="542">
        <f t="shared" si="41"/>
        <v>0</v>
      </c>
      <c r="L155" s="542">
        <f t="shared" si="42"/>
        <v>0</v>
      </c>
      <c r="M155" s="542">
        <f t="shared" si="43"/>
        <v>0</v>
      </c>
      <c r="N155" s="35"/>
      <c r="O155" s="25"/>
    </row>
    <row r="156" spans="2:15" x14ac:dyDescent="0.2">
      <c r="B156" s="21"/>
      <c r="C156" s="35"/>
      <c r="D156" s="534"/>
      <c r="E156" s="35"/>
      <c r="F156" s="43"/>
      <c r="G156" s="1576"/>
      <c r="H156" s="537">
        <v>0</v>
      </c>
      <c r="I156" s="537">
        <f t="shared" si="40"/>
        <v>0</v>
      </c>
      <c r="J156" s="537">
        <f t="shared" si="40"/>
        <v>0</v>
      </c>
      <c r="K156" s="537">
        <f t="shared" si="41"/>
        <v>0</v>
      </c>
      <c r="L156" s="537">
        <f t="shared" si="42"/>
        <v>0</v>
      </c>
      <c r="M156" s="537">
        <f t="shared" si="43"/>
        <v>0</v>
      </c>
      <c r="N156" s="35"/>
      <c r="O156" s="25"/>
    </row>
    <row r="157" spans="2:15" x14ac:dyDescent="0.2">
      <c r="B157" s="21"/>
      <c r="C157" s="35"/>
      <c r="D157" s="534"/>
      <c r="E157" s="35"/>
      <c r="F157" s="43"/>
      <c r="G157" s="1576"/>
      <c r="H157" s="537">
        <v>0</v>
      </c>
      <c r="I157" s="537">
        <f t="shared" si="40"/>
        <v>0</v>
      </c>
      <c r="J157" s="537">
        <f t="shared" si="40"/>
        <v>0</v>
      </c>
      <c r="K157" s="537">
        <f t="shared" si="41"/>
        <v>0</v>
      </c>
      <c r="L157" s="537">
        <f t="shared" si="42"/>
        <v>0</v>
      </c>
      <c r="M157" s="537">
        <f t="shared" si="43"/>
        <v>0</v>
      </c>
      <c r="N157" s="35"/>
      <c r="O157" s="25"/>
    </row>
    <row r="158" spans="2:15" x14ac:dyDescent="0.2">
      <c r="B158" s="21"/>
      <c r="C158" s="35"/>
      <c r="D158" s="534"/>
      <c r="E158" s="35"/>
      <c r="F158" s="43"/>
      <c r="G158" s="1576"/>
      <c r="H158" s="537">
        <v>0</v>
      </c>
      <c r="I158" s="537">
        <f t="shared" si="40"/>
        <v>0</v>
      </c>
      <c r="J158" s="537">
        <f t="shared" si="40"/>
        <v>0</v>
      </c>
      <c r="K158" s="537">
        <f t="shared" si="40"/>
        <v>0</v>
      </c>
      <c r="L158" s="537">
        <f t="shared" si="42"/>
        <v>0</v>
      </c>
      <c r="M158" s="537">
        <f t="shared" si="43"/>
        <v>0</v>
      </c>
      <c r="N158" s="35"/>
      <c r="O158" s="25"/>
    </row>
    <row r="159" spans="2:15" x14ac:dyDescent="0.2">
      <c r="B159" s="21"/>
      <c r="C159" s="35"/>
      <c r="D159" s="534"/>
      <c r="E159" s="35"/>
      <c r="F159" s="43"/>
      <c r="G159" s="1576"/>
      <c r="H159" s="537">
        <v>0</v>
      </c>
      <c r="I159" s="537">
        <f t="shared" si="40"/>
        <v>0</v>
      </c>
      <c r="J159" s="537">
        <f t="shared" si="40"/>
        <v>0</v>
      </c>
      <c r="K159" s="537">
        <f>J159</f>
        <v>0</v>
      </c>
      <c r="L159" s="537">
        <f t="shared" si="42"/>
        <v>0</v>
      </c>
      <c r="M159" s="537">
        <f t="shared" si="43"/>
        <v>0</v>
      </c>
      <c r="N159" s="35"/>
      <c r="O159" s="25"/>
    </row>
    <row r="160" spans="2:15" x14ac:dyDescent="0.2">
      <c r="B160" s="21"/>
      <c r="C160" s="35"/>
      <c r="D160" s="534"/>
      <c r="E160" s="35"/>
      <c r="F160" s="43"/>
      <c r="G160" s="1576"/>
      <c r="H160" s="537">
        <v>0</v>
      </c>
      <c r="I160" s="537">
        <f t="shared" si="40"/>
        <v>0</v>
      </c>
      <c r="J160" s="537">
        <f t="shared" si="40"/>
        <v>0</v>
      </c>
      <c r="K160" s="537">
        <f>J160</f>
        <v>0</v>
      </c>
      <c r="L160" s="537">
        <f t="shared" si="42"/>
        <v>0</v>
      </c>
      <c r="M160" s="537">
        <f t="shared" si="43"/>
        <v>0</v>
      </c>
      <c r="N160" s="35"/>
      <c r="O160" s="25"/>
    </row>
    <row r="161" spans="2:15" x14ac:dyDescent="0.2">
      <c r="B161" s="21"/>
      <c r="C161" s="35"/>
      <c r="D161" s="35"/>
      <c r="E161" s="35"/>
      <c r="F161" s="186"/>
      <c r="G161" s="939"/>
      <c r="H161" s="545">
        <f t="shared" ref="H161:M161" si="44">SUM(H147:H160)</f>
        <v>0</v>
      </c>
      <c r="I161" s="545">
        <f t="shared" si="44"/>
        <v>0</v>
      </c>
      <c r="J161" s="545">
        <f t="shared" si="44"/>
        <v>0</v>
      </c>
      <c r="K161" s="545">
        <f t="shared" si="44"/>
        <v>0</v>
      </c>
      <c r="L161" s="545">
        <f t="shared" si="44"/>
        <v>0</v>
      </c>
      <c r="M161" s="545">
        <f t="shared" si="44"/>
        <v>0</v>
      </c>
      <c r="N161" s="35"/>
      <c r="O161" s="25"/>
    </row>
    <row r="162" spans="2:15" x14ac:dyDescent="0.2">
      <c r="B162" s="21"/>
      <c r="C162" s="35"/>
      <c r="D162" s="539"/>
      <c r="E162" s="540"/>
      <c r="F162" s="541"/>
      <c r="G162" s="541"/>
      <c r="H162" s="541"/>
      <c r="I162" s="541"/>
      <c r="J162" s="541"/>
      <c r="K162" s="541"/>
      <c r="L162" s="541"/>
      <c r="M162" s="541"/>
      <c r="N162" s="35"/>
      <c r="O162" s="25"/>
    </row>
    <row r="163" spans="2:15" ht="13.5" thickBot="1" x14ac:dyDescent="0.25">
      <c r="B163" s="21"/>
      <c r="C163" s="40"/>
      <c r="D163" s="1235"/>
      <c r="E163" s="1236"/>
      <c r="F163" s="1231"/>
      <c r="G163" s="1231"/>
      <c r="H163" s="1231"/>
      <c r="I163" s="1231"/>
      <c r="J163" s="1231"/>
      <c r="K163" s="1231"/>
      <c r="L163" s="1231"/>
      <c r="M163" s="1231"/>
      <c r="N163" s="40"/>
      <c r="O163" s="25"/>
    </row>
    <row r="164" spans="2:15" ht="13.5" thickTop="1" x14ac:dyDescent="0.2">
      <c r="B164" s="936"/>
      <c r="C164" s="1237"/>
      <c r="D164" s="1238"/>
      <c r="E164" s="1239"/>
      <c r="F164" s="1240"/>
      <c r="G164" s="1241"/>
      <c r="H164" s="1241"/>
      <c r="I164" s="1241"/>
      <c r="J164" s="1241"/>
      <c r="K164" s="1241"/>
      <c r="L164" s="1241"/>
      <c r="M164" s="1241"/>
      <c r="N164" s="1242"/>
      <c r="O164" s="25"/>
    </row>
    <row r="165" spans="2:15" x14ac:dyDescent="0.2">
      <c r="B165" s="936"/>
      <c r="C165" s="1243"/>
      <c r="D165" s="538" t="s">
        <v>768</v>
      </c>
      <c r="E165" s="508"/>
      <c r="F165" s="79"/>
      <c r="G165" s="113"/>
      <c r="H165" s="1232" t="str">
        <f t="shared" ref="H165:M165" si="45">+H55</f>
        <v>2015/16</v>
      </c>
      <c r="I165" s="1232" t="str">
        <f t="shared" si="45"/>
        <v>2016/17</v>
      </c>
      <c r="J165" s="1232" t="str">
        <f t="shared" si="45"/>
        <v>2017/18</v>
      </c>
      <c r="K165" s="1232" t="str">
        <f t="shared" si="45"/>
        <v>2018/19</v>
      </c>
      <c r="L165" s="1232" t="str">
        <f t="shared" si="45"/>
        <v>2019/20</v>
      </c>
      <c r="M165" s="1232" t="str">
        <f t="shared" si="45"/>
        <v>2020/21</v>
      </c>
      <c r="N165" s="1245"/>
      <c r="O165" s="25"/>
    </row>
    <row r="166" spans="2:15" x14ac:dyDescent="0.2">
      <c r="B166" s="936"/>
      <c r="C166" s="1243"/>
      <c r="D166" s="538"/>
      <c r="E166" s="508"/>
      <c r="F166" s="79"/>
      <c r="G166" s="113"/>
      <c r="H166" s="1234"/>
      <c r="I166" s="1234"/>
      <c r="J166" s="1234"/>
      <c r="K166" s="1234"/>
      <c r="L166" s="1234"/>
      <c r="M166" s="1234"/>
      <c r="N166" s="1245"/>
      <c r="O166" s="25"/>
    </row>
    <row r="167" spans="2:15" x14ac:dyDescent="0.2">
      <c r="B167" s="936"/>
      <c r="C167" s="1243"/>
      <c r="D167" s="1233" t="s">
        <v>908</v>
      </c>
      <c r="E167" s="508"/>
      <c r="F167" s="79"/>
      <c r="G167" s="1572"/>
      <c r="H167" s="1579">
        <f>herbest!H53</f>
        <v>0</v>
      </c>
      <c r="I167" s="1579">
        <f t="shared" ref="I167:L167" si="46">+H167</f>
        <v>0</v>
      </c>
      <c r="J167" s="1579">
        <f t="shared" si="46"/>
        <v>0</v>
      </c>
      <c r="K167" s="1579">
        <f t="shared" si="46"/>
        <v>0</v>
      </c>
      <c r="L167" s="1579">
        <f t="shared" si="46"/>
        <v>0</v>
      </c>
      <c r="M167" s="1579">
        <f>+L167</f>
        <v>0</v>
      </c>
      <c r="N167" s="1244"/>
      <c r="O167" s="25"/>
    </row>
    <row r="168" spans="2:15" x14ac:dyDescent="0.2">
      <c r="B168" s="936"/>
      <c r="C168" s="1243"/>
      <c r="D168" s="739" t="s">
        <v>769</v>
      </c>
      <c r="E168" s="508"/>
      <c r="F168" s="79"/>
      <c r="G168" s="1572"/>
      <c r="H168" s="1579">
        <f>+herbest!I88</f>
        <v>0</v>
      </c>
      <c r="I168" s="1579">
        <f>+H168</f>
        <v>0</v>
      </c>
      <c r="J168" s="1579">
        <f t="shared" ref="J168:L168" si="47">+I168</f>
        <v>0</v>
      </c>
      <c r="K168" s="1579">
        <f t="shared" si="47"/>
        <v>0</v>
      </c>
      <c r="L168" s="1579">
        <f t="shared" si="47"/>
        <v>0</v>
      </c>
      <c r="M168" s="1579">
        <f>+L168</f>
        <v>0</v>
      </c>
      <c r="N168" s="1244"/>
      <c r="O168" s="25"/>
    </row>
    <row r="169" spans="2:15" ht="13.5" thickBot="1" x14ac:dyDescent="0.25">
      <c r="B169" s="936"/>
      <c r="C169" s="1246"/>
      <c r="D169" s="1247"/>
      <c r="E169" s="1248"/>
      <c r="F169" s="1249"/>
      <c r="G169" s="1249"/>
      <c r="H169" s="1249"/>
      <c r="I169" s="1249"/>
      <c r="J169" s="1249"/>
      <c r="K169" s="1249"/>
      <c r="L169" s="1249"/>
      <c r="M169" s="1249"/>
      <c r="N169" s="1250"/>
      <c r="O169" s="25"/>
    </row>
    <row r="170" spans="2:15" ht="13.5" thickTop="1" x14ac:dyDescent="0.2">
      <c r="B170" s="936"/>
      <c r="C170" s="32"/>
      <c r="D170" s="538"/>
      <c r="E170" s="508"/>
      <c r="F170" s="79"/>
      <c r="G170" s="1572"/>
      <c r="H170" s="79"/>
      <c r="I170" s="79"/>
      <c r="J170" s="79"/>
      <c r="K170" s="79"/>
      <c r="L170" s="79"/>
      <c r="M170" s="79"/>
      <c r="N170" s="32"/>
      <c r="O170" s="25"/>
    </row>
    <row r="171" spans="2:15" x14ac:dyDescent="0.2">
      <c r="B171" s="21"/>
      <c r="C171" s="191"/>
      <c r="D171" s="199" t="s">
        <v>64</v>
      </c>
      <c r="E171" s="191"/>
      <c r="F171" s="71"/>
      <c r="G171" s="71"/>
      <c r="H171" s="71"/>
      <c r="I171" s="71"/>
      <c r="J171" s="71"/>
      <c r="K171" s="71"/>
      <c r="L171" s="71"/>
      <c r="M171" s="71"/>
      <c r="N171" s="191"/>
      <c r="O171" s="25"/>
    </row>
    <row r="172" spans="2:15" x14ac:dyDescent="0.2">
      <c r="B172" s="21"/>
      <c r="C172" s="191"/>
      <c r="D172" s="199"/>
      <c r="E172" s="191"/>
      <c r="F172" s="71"/>
      <c r="G172" s="113"/>
      <c r="H172" s="1168">
        <f t="shared" ref="H172:M172" si="48">+H143</f>
        <v>2015</v>
      </c>
      <c r="I172" s="1168">
        <f t="shared" si="48"/>
        <v>2016</v>
      </c>
      <c r="J172" s="1168">
        <f t="shared" si="48"/>
        <v>2017</v>
      </c>
      <c r="K172" s="1168">
        <f t="shared" si="48"/>
        <v>2018</v>
      </c>
      <c r="L172" s="1168">
        <f t="shared" si="48"/>
        <v>2019</v>
      </c>
      <c r="M172" s="1168">
        <f t="shared" si="48"/>
        <v>2020</v>
      </c>
      <c r="N172" s="191"/>
      <c r="O172" s="25"/>
    </row>
    <row r="173" spans="2:15" x14ac:dyDescent="0.2">
      <c r="B173" s="21"/>
      <c r="C173" s="191"/>
      <c r="D173" s="38" t="s">
        <v>200</v>
      </c>
      <c r="E173" s="191"/>
      <c r="F173" s="71"/>
      <c r="G173" s="667"/>
      <c r="H173" s="71"/>
      <c r="I173" s="71"/>
      <c r="J173" s="71"/>
      <c r="K173" s="71"/>
      <c r="L173" s="71"/>
      <c r="M173" s="71"/>
      <c r="N173" s="191"/>
      <c r="O173" s="25"/>
    </row>
    <row r="174" spans="2:15" x14ac:dyDescent="0.2">
      <c r="B174" s="21"/>
      <c r="C174" s="191"/>
      <c r="D174" s="191" t="s">
        <v>544</v>
      </c>
      <c r="E174" s="38"/>
      <c r="F174" s="152"/>
      <c r="G174" s="1052"/>
      <c r="H174" s="548">
        <f>'overdr VSO'!I15*5/12</f>
        <v>0</v>
      </c>
      <c r="I174" s="548">
        <f>'overdr VSO'!I15*7/12+'overdr VSO'!J15*5/12</f>
        <v>0</v>
      </c>
      <c r="J174" s="548">
        <f>'overdr VSO'!J15*7/12+'overdr VSO'!K15*5/12</f>
        <v>0</v>
      </c>
      <c r="K174" s="548">
        <f>'overdr VSO'!K15*7/12+'overdr VSO'!L15*5/12</f>
        <v>0</v>
      </c>
      <c r="L174" s="548">
        <f>'overdr VSO'!L15*7/12+'overdr VSO'!M15*5/12</f>
        <v>0</v>
      </c>
      <c r="M174" s="548">
        <f>'overdr VSO'!M15*7/12+'overdr VSO'!N15*5/12</f>
        <v>0</v>
      </c>
      <c r="N174" s="191"/>
      <c r="O174" s="25"/>
    </row>
    <row r="175" spans="2:15" x14ac:dyDescent="0.2">
      <c r="B175" s="21"/>
      <c r="C175" s="191"/>
      <c r="D175" s="191" t="s">
        <v>545</v>
      </c>
      <c r="E175" s="38"/>
      <c r="F175" s="152"/>
      <c r="G175" s="1052"/>
      <c r="H175" s="1555">
        <v>0</v>
      </c>
      <c r="I175" s="1555">
        <v>0</v>
      </c>
      <c r="J175" s="1555">
        <f>+I175</f>
        <v>0</v>
      </c>
      <c r="K175" s="1555">
        <f t="shared" ref="K175:M175" si="49">+J175</f>
        <v>0</v>
      </c>
      <c r="L175" s="1555">
        <f t="shared" si="49"/>
        <v>0</v>
      </c>
      <c r="M175" s="1555">
        <f t="shared" si="49"/>
        <v>0</v>
      </c>
      <c r="N175" s="191"/>
      <c r="O175" s="25"/>
    </row>
    <row r="176" spans="2:15" x14ac:dyDescent="0.2">
      <c r="B176" s="21"/>
      <c r="C176" s="191"/>
      <c r="D176" s="191" t="s">
        <v>546</v>
      </c>
      <c r="E176" s="38"/>
      <c r="F176" s="152"/>
      <c r="G176" s="1052"/>
      <c r="H176" s="860">
        <f t="shared" ref="H176:M176" si="50">SUM(H174:H175)</f>
        <v>0</v>
      </c>
      <c r="I176" s="860">
        <f t="shared" si="50"/>
        <v>0</v>
      </c>
      <c r="J176" s="860">
        <f t="shared" si="50"/>
        <v>0</v>
      </c>
      <c r="K176" s="860">
        <f t="shared" si="50"/>
        <v>0</v>
      </c>
      <c r="L176" s="860">
        <f t="shared" si="50"/>
        <v>0</v>
      </c>
      <c r="M176" s="860">
        <f t="shared" si="50"/>
        <v>0</v>
      </c>
      <c r="N176" s="191"/>
      <c r="O176" s="25"/>
    </row>
    <row r="177" spans="2:15" x14ac:dyDescent="0.2">
      <c r="B177" s="21"/>
      <c r="C177" s="191"/>
      <c r="D177" s="661"/>
      <c r="E177" s="663"/>
      <c r="F177" s="667"/>
      <c r="G177" s="667"/>
      <c r="H177" s="861"/>
      <c r="I177" s="861"/>
      <c r="J177" s="861"/>
      <c r="K177" s="861"/>
      <c r="L177" s="861"/>
      <c r="M177" s="861"/>
      <c r="N177" s="191"/>
      <c r="O177" s="25"/>
    </row>
    <row r="178" spans="2:15" x14ac:dyDescent="0.2">
      <c r="B178" s="21"/>
      <c r="C178" s="191"/>
      <c r="D178" s="191" t="s">
        <v>391</v>
      </c>
      <c r="E178" s="191"/>
      <c r="F178" s="152"/>
      <c r="G178" s="1052"/>
      <c r="H178" s="537">
        <v>0</v>
      </c>
      <c r="I178" s="543">
        <f t="shared" ref="I178:K190" si="51">H178</f>
        <v>0</v>
      </c>
      <c r="J178" s="543">
        <f t="shared" si="51"/>
        <v>0</v>
      </c>
      <c r="K178" s="543">
        <f t="shared" si="51"/>
        <v>0</v>
      </c>
      <c r="L178" s="543">
        <f t="shared" ref="L178:L190" si="52">K178</f>
        <v>0</v>
      </c>
      <c r="M178" s="543">
        <f>L178</f>
        <v>0</v>
      </c>
      <c r="N178" s="191"/>
      <c r="O178" s="25"/>
    </row>
    <row r="179" spans="2:15" x14ac:dyDescent="0.2">
      <c r="B179" s="21"/>
      <c r="C179" s="191"/>
      <c r="D179" s="739" t="s">
        <v>769</v>
      </c>
      <c r="E179" s="191"/>
      <c r="F179" s="152"/>
      <c r="G179" s="1052"/>
      <c r="H179" s="1230">
        <f>5/12*H168</f>
        <v>0</v>
      </c>
      <c r="I179" s="1230">
        <f>7/12*H168+5/12*I168</f>
        <v>0</v>
      </c>
      <c r="J179" s="1230">
        <f t="shared" ref="J179:M179" si="53">7/12*I168+5/12*J168</f>
        <v>0</v>
      </c>
      <c r="K179" s="1230">
        <f t="shared" si="53"/>
        <v>0</v>
      </c>
      <c r="L179" s="1230">
        <f t="shared" si="53"/>
        <v>0</v>
      </c>
      <c r="M179" s="1230">
        <f t="shared" si="53"/>
        <v>0</v>
      </c>
      <c r="N179" s="191"/>
      <c r="O179" s="895"/>
    </row>
    <row r="180" spans="2:15" x14ac:dyDescent="0.2">
      <c r="B180" s="21"/>
      <c r="C180" s="191"/>
      <c r="D180" s="535"/>
      <c r="E180" s="191"/>
      <c r="F180" s="152"/>
      <c r="G180" s="1052"/>
      <c r="H180" s="537">
        <v>0</v>
      </c>
      <c r="I180" s="543">
        <f t="shared" si="51"/>
        <v>0</v>
      </c>
      <c r="J180" s="543">
        <f t="shared" si="51"/>
        <v>0</v>
      </c>
      <c r="K180" s="543">
        <f t="shared" si="51"/>
        <v>0</v>
      </c>
      <c r="L180" s="543">
        <f t="shared" si="52"/>
        <v>0</v>
      </c>
      <c r="M180" s="543">
        <f t="shared" ref="M180:M185" si="54">L180</f>
        <v>0</v>
      </c>
      <c r="N180" s="191"/>
      <c r="O180" s="25"/>
    </row>
    <row r="181" spans="2:15" x14ac:dyDescent="0.2">
      <c r="B181" s="21"/>
      <c r="C181" s="191"/>
      <c r="D181" s="535"/>
      <c r="E181" s="191"/>
      <c r="F181" s="152"/>
      <c r="G181" s="1052"/>
      <c r="H181" s="537">
        <v>0</v>
      </c>
      <c r="I181" s="543">
        <f t="shared" si="51"/>
        <v>0</v>
      </c>
      <c r="J181" s="543">
        <f t="shared" si="51"/>
        <v>0</v>
      </c>
      <c r="K181" s="543">
        <f t="shared" si="51"/>
        <v>0</v>
      </c>
      <c r="L181" s="543">
        <f t="shared" si="52"/>
        <v>0</v>
      </c>
      <c r="M181" s="543">
        <f t="shared" si="54"/>
        <v>0</v>
      </c>
      <c r="N181" s="191"/>
      <c r="O181" s="25"/>
    </row>
    <row r="182" spans="2:15" x14ac:dyDescent="0.2">
      <c r="B182" s="21"/>
      <c r="C182" s="191"/>
      <c r="D182" s="535"/>
      <c r="E182" s="191"/>
      <c r="F182" s="152"/>
      <c r="G182" s="1052"/>
      <c r="H182" s="537">
        <v>0</v>
      </c>
      <c r="I182" s="543">
        <f t="shared" si="51"/>
        <v>0</v>
      </c>
      <c r="J182" s="543">
        <f t="shared" si="51"/>
        <v>0</v>
      </c>
      <c r="K182" s="543">
        <f t="shared" si="51"/>
        <v>0</v>
      </c>
      <c r="L182" s="543">
        <f t="shared" si="52"/>
        <v>0</v>
      </c>
      <c r="M182" s="543">
        <f t="shared" si="54"/>
        <v>0</v>
      </c>
      <c r="N182" s="191"/>
      <c r="O182" s="25"/>
    </row>
    <row r="183" spans="2:15" x14ac:dyDescent="0.2">
      <c r="B183" s="21"/>
      <c r="C183" s="191"/>
      <c r="D183" s="535"/>
      <c r="E183" s="191"/>
      <c r="F183" s="152"/>
      <c r="G183" s="1052"/>
      <c r="H183" s="537">
        <v>0</v>
      </c>
      <c r="I183" s="543">
        <f t="shared" si="51"/>
        <v>0</v>
      </c>
      <c r="J183" s="543">
        <f t="shared" si="51"/>
        <v>0</v>
      </c>
      <c r="K183" s="543">
        <f t="shared" si="51"/>
        <v>0</v>
      </c>
      <c r="L183" s="543">
        <f t="shared" si="52"/>
        <v>0</v>
      </c>
      <c r="M183" s="543">
        <f t="shared" si="54"/>
        <v>0</v>
      </c>
      <c r="N183" s="191"/>
      <c r="O183" s="25"/>
    </row>
    <row r="184" spans="2:15" x14ac:dyDescent="0.2">
      <c r="B184" s="21"/>
      <c r="C184" s="191"/>
      <c r="D184" s="535"/>
      <c r="E184" s="191"/>
      <c r="F184" s="152"/>
      <c r="G184" s="1052"/>
      <c r="H184" s="537">
        <v>0</v>
      </c>
      <c r="I184" s="543">
        <f t="shared" si="51"/>
        <v>0</v>
      </c>
      <c r="J184" s="543">
        <f t="shared" ref="J184:K185" si="55">I184</f>
        <v>0</v>
      </c>
      <c r="K184" s="543">
        <f t="shared" si="55"/>
        <v>0</v>
      </c>
      <c r="L184" s="543">
        <f t="shared" si="52"/>
        <v>0</v>
      </c>
      <c r="M184" s="543">
        <f t="shared" si="54"/>
        <v>0</v>
      </c>
      <c r="N184" s="191"/>
      <c r="O184" s="25"/>
    </row>
    <row r="185" spans="2:15" x14ac:dyDescent="0.2">
      <c r="B185" s="21"/>
      <c r="C185" s="191"/>
      <c r="D185" s="535"/>
      <c r="E185" s="191"/>
      <c r="F185" s="152"/>
      <c r="G185" s="1052"/>
      <c r="H185" s="537">
        <v>0</v>
      </c>
      <c r="I185" s="543">
        <f t="shared" si="51"/>
        <v>0</v>
      </c>
      <c r="J185" s="543">
        <f t="shared" si="55"/>
        <v>0</v>
      </c>
      <c r="K185" s="543">
        <f t="shared" si="55"/>
        <v>0</v>
      </c>
      <c r="L185" s="543">
        <f t="shared" si="52"/>
        <v>0</v>
      </c>
      <c r="M185" s="543">
        <f t="shared" si="54"/>
        <v>0</v>
      </c>
      <c r="N185" s="191"/>
      <c r="O185" s="25"/>
    </row>
    <row r="186" spans="2:15" x14ac:dyDescent="0.2">
      <c r="B186" s="21"/>
      <c r="C186" s="191"/>
      <c r="D186" s="598" t="s">
        <v>908</v>
      </c>
      <c r="E186" s="191"/>
      <c r="F186" s="152"/>
      <c r="G186" s="1052"/>
      <c r="H186" s="1230">
        <f>5/12*H167</f>
        <v>0</v>
      </c>
      <c r="I186" s="1230">
        <f>7/12*H167+5/12*I167</f>
        <v>0</v>
      </c>
      <c r="J186" s="1230">
        <f t="shared" ref="J186:M186" si="56">7/12*I167+5/12*J167</f>
        <v>0</v>
      </c>
      <c r="K186" s="1230">
        <f t="shared" si="56"/>
        <v>0</v>
      </c>
      <c r="L186" s="1230">
        <f t="shared" si="56"/>
        <v>0</v>
      </c>
      <c r="M186" s="1230">
        <f t="shared" si="56"/>
        <v>0</v>
      </c>
      <c r="N186" s="191"/>
      <c r="O186" s="25"/>
    </row>
    <row r="187" spans="2:15" x14ac:dyDescent="0.2">
      <c r="B187" s="21"/>
      <c r="C187" s="191"/>
      <c r="D187" s="535"/>
      <c r="E187" s="191"/>
      <c r="F187" s="152"/>
      <c r="G187" s="1052"/>
      <c r="H187" s="67">
        <v>0</v>
      </c>
      <c r="I187" s="67">
        <v>0</v>
      </c>
      <c r="J187" s="67">
        <f>I187</f>
        <v>0</v>
      </c>
      <c r="K187" s="67">
        <f t="shared" si="51"/>
        <v>0</v>
      </c>
      <c r="L187" s="67">
        <f t="shared" si="52"/>
        <v>0</v>
      </c>
      <c r="M187" s="67">
        <f>L187</f>
        <v>0</v>
      </c>
      <c r="N187" s="191"/>
      <c r="O187" s="25"/>
    </row>
    <row r="188" spans="2:15" x14ac:dyDescent="0.2">
      <c r="B188" s="21"/>
      <c r="C188" s="191"/>
      <c r="D188" s="535"/>
      <c r="E188" s="191"/>
      <c r="F188" s="152"/>
      <c r="G188" s="1052"/>
      <c r="H188" s="537">
        <v>0</v>
      </c>
      <c r="I188" s="67">
        <f t="shared" si="51"/>
        <v>0</v>
      </c>
      <c r="J188" s="67">
        <f>I188</f>
        <v>0</v>
      </c>
      <c r="K188" s="67">
        <f>J188</f>
        <v>0</v>
      </c>
      <c r="L188" s="67">
        <f t="shared" si="52"/>
        <v>0</v>
      </c>
      <c r="M188" s="67">
        <f>L188</f>
        <v>0</v>
      </c>
      <c r="N188" s="191"/>
      <c r="O188" s="25"/>
    </row>
    <row r="189" spans="2:15" x14ac:dyDescent="0.2">
      <c r="B189" s="21"/>
      <c r="C189" s="191"/>
      <c r="D189" s="535"/>
      <c r="E189" s="191"/>
      <c r="F189" s="152"/>
      <c r="G189" s="1052"/>
      <c r="H189" s="537">
        <v>0</v>
      </c>
      <c r="I189" s="67">
        <f t="shared" si="51"/>
        <v>0</v>
      </c>
      <c r="J189" s="67">
        <f>I189</f>
        <v>0</v>
      </c>
      <c r="K189" s="67">
        <f>J189</f>
        <v>0</v>
      </c>
      <c r="L189" s="67">
        <f t="shared" si="52"/>
        <v>0</v>
      </c>
      <c r="M189" s="67">
        <f>L189</f>
        <v>0</v>
      </c>
      <c r="N189" s="191"/>
      <c r="O189" s="25"/>
    </row>
    <row r="190" spans="2:15" x14ac:dyDescent="0.2">
      <c r="B190" s="21"/>
      <c r="C190" s="191"/>
      <c r="D190" s="535"/>
      <c r="E190" s="191"/>
      <c r="F190" s="152"/>
      <c r="G190" s="1052"/>
      <c r="H190" s="537">
        <v>0</v>
      </c>
      <c r="I190" s="67">
        <f t="shared" si="51"/>
        <v>0</v>
      </c>
      <c r="J190" s="67">
        <f>I190</f>
        <v>0</v>
      </c>
      <c r="K190" s="67">
        <f>J190</f>
        <v>0</v>
      </c>
      <c r="L190" s="67">
        <f t="shared" si="52"/>
        <v>0</v>
      </c>
      <c r="M190" s="67">
        <f>L190</f>
        <v>0</v>
      </c>
      <c r="N190" s="191"/>
      <c r="O190" s="25"/>
    </row>
    <row r="191" spans="2:15" x14ac:dyDescent="0.2">
      <c r="B191" s="21"/>
      <c r="C191" s="191"/>
      <c r="D191" s="191"/>
      <c r="E191" s="191"/>
      <c r="F191" s="71"/>
      <c r="G191" s="71"/>
      <c r="H191" s="546">
        <f t="shared" ref="H191:M191" si="57">SUM(H176:H190)</f>
        <v>0</v>
      </c>
      <c r="I191" s="546">
        <f t="shared" si="57"/>
        <v>0</v>
      </c>
      <c r="J191" s="546">
        <f t="shared" si="57"/>
        <v>0</v>
      </c>
      <c r="K191" s="546">
        <f t="shared" si="57"/>
        <v>0</v>
      </c>
      <c r="L191" s="546">
        <f t="shared" si="57"/>
        <v>0</v>
      </c>
      <c r="M191" s="546">
        <f t="shared" si="57"/>
        <v>0</v>
      </c>
      <c r="N191" s="191"/>
      <c r="O191" s="25"/>
    </row>
    <row r="192" spans="2:15" x14ac:dyDescent="0.2">
      <c r="B192" s="21"/>
      <c r="C192" s="191"/>
      <c r="D192" s="539"/>
      <c r="E192" s="540"/>
      <c r="F192" s="541"/>
      <c r="G192" s="541"/>
      <c r="H192" s="541"/>
      <c r="I192" s="541"/>
      <c r="J192" s="541"/>
      <c r="K192" s="541"/>
      <c r="L192" s="541"/>
      <c r="M192" s="541"/>
      <c r="N192" s="191"/>
      <c r="O192" s="25"/>
    </row>
    <row r="193" spans="2:15" x14ac:dyDescent="0.2">
      <c r="B193" s="21"/>
      <c r="C193" s="191"/>
      <c r="D193" s="872" t="s">
        <v>548</v>
      </c>
      <c r="E193" s="586"/>
      <c r="F193" s="587"/>
      <c r="G193" s="587"/>
      <c r="H193" s="587"/>
      <c r="I193" s="587"/>
      <c r="J193" s="587"/>
      <c r="K193" s="587"/>
      <c r="L193" s="587"/>
      <c r="M193" s="587"/>
      <c r="N193" s="191"/>
      <c r="O193" s="25"/>
    </row>
    <row r="194" spans="2:15" x14ac:dyDescent="0.2">
      <c r="B194" s="21"/>
      <c r="C194" s="191"/>
      <c r="D194" s="199" t="s">
        <v>525</v>
      </c>
      <c r="E194" s="191"/>
      <c r="F194" s="71"/>
      <c r="G194" s="71"/>
      <c r="H194" s="71"/>
      <c r="I194" s="71"/>
      <c r="J194" s="71"/>
      <c r="K194" s="71"/>
      <c r="L194" s="71"/>
      <c r="M194" s="71"/>
      <c r="N194" s="191"/>
      <c r="O194" s="25"/>
    </row>
    <row r="195" spans="2:15" x14ac:dyDescent="0.2">
      <c r="B195" s="21"/>
      <c r="C195" s="191"/>
      <c r="D195" s="598" t="s">
        <v>1003</v>
      </c>
      <c r="E195" s="191"/>
      <c r="F195" s="152"/>
      <c r="G195" s="1052"/>
      <c r="H195" s="873">
        <f>7/12*project!H19+5/12*project!I19</f>
        <v>0</v>
      </c>
      <c r="I195" s="873">
        <f>7/12*project!I19+5/12*project!J19</f>
        <v>0</v>
      </c>
      <c r="J195" s="873">
        <f>7/12*project!J19+5/12*project!K19</f>
        <v>0</v>
      </c>
      <c r="K195" s="873">
        <f>7/12*project!K19+5/12*project!L19</f>
        <v>0</v>
      </c>
      <c r="L195" s="873">
        <f>7/12*project!L19+5/12*project!M19</f>
        <v>0</v>
      </c>
      <c r="M195" s="873">
        <f>7/12*project!M19+5/12*project!N19</f>
        <v>0</v>
      </c>
      <c r="N195" s="191"/>
      <c r="O195" s="25"/>
    </row>
    <row r="196" spans="2:15" x14ac:dyDescent="0.2">
      <c r="B196" s="21"/>
      <c r="C196" s="191"/>
      <c r="D196" s="598" t="s">
        <v>1004</v>
      </c>
      <c r="E196" s="191"/>
      <c r="F196" s="152"/>
      <c r="G196" s="1052"/>
      <c r="H196" s="873">
        <f>7/12*project!H39+5/12*project!I39</f>
        <v>0</v>
      </c>
      <c r="I196" s="873">
        <f>7/12*project!I39+5/12*project!J39</f>
        <v>0</v>
      </c>
      <c r="J196" s="873">
        <f>7/12*project!J39+5/12*project!K39</f>
        <v>0</v>
      </c>
      <c r="K196" s="873">
        <f>7/12*project!K39+5/12*project!L39</f>
        <v>0</v>
      </c>
      <c r="L196" s="873">
        <f>7/12*project!L39+5/12*project!M39</f>
        <v>0</v>
      </c>
      <c r="M196" s="873">
        <f>7/12*project!M39+5/12*project!N39</f>
        <v>0</v>
      </c>
      <c r="N196" s="191"/>
      <c r="O196" s="25"/>
    </row>
    <row r="197" spans="2:15" x14ac:dyDescent="0.2">
      <c r="B197" s="21"/>
      <c r="C197" s="191"/>
      <c r="D197" s="598" t="s">
        <v>1005</v>
      </c>
      <c r="E197" s="191"/>
      <c r="F197" s="152"/>
      <c r="G197" s="1052"/>
      <c r="H197" s="873">
        <f>7/12*project!H59+5/12*project!I59</f>
        <v>0</v>
      </c>
      <c r="I197" s="873">
        <f>7/12*project!I59+5/12*project!J59</f>
        <v>0</v>
      </c>
      <c r="J197" s="873">
        <f>7/12*project!J59+5/12*project!K59</f>
        <v>0</v>
      </c>
      <c r="K197" s="873">
        <f>7/12*project!K59+5/12*project!L59</f>
        <v>0</v>
      </c>
      <c r="L197" s="873">
        <f>7/12*project!L59+5/12*project!M59</f>
        <v>0</v>
      </c>
      <c r="M197" s="873">
        <f>7/12*project!M59+5/12*project!N59</f>
        <v>0</v>
      </c>
      <c r="N197" s="191"/>
      <c r="O197" s="25"/>
    </row>
    <row r="198" spans="2:15" x14ac:dyDescent="0.2">
      <c r="B198" s="21"/>
      <c r="C198" s="191"/>
      <c r="D198" s="598" t="s">
        <v>1006</v>
      </c>
      <c r="E198" s="191"/>
      <c r="F198" s="152"/>
      <c r="G198" s="1052"/>
      <c r="H198" s="873">
        <f>7/12*project!H79+5/12*project!I79</f>
        <v>0</v>
      </c>
      <c r="I198" s="873">
        <f>7/12*project!I79+5/12*project!J79</f>
        <v>0</v>
      </c>
      <c r="J198" s="873">
        <f>7/12*project!J79+5/12*project!K79</f>
        <v>0</v>
      </c>
      <c r="K198" s="873">
        <f>7/12*project!K79+5/12*project!L79</f>
        <v>0</v>
      </c>
      <c r="L198" s="873">
        <f>7/12*project!L79+5/12*project!M79</f>
        <v>0</v>
      </c>
      <c r="M198" s="873">
        <f>7/12*project!M79+5/12*project!N79</f>
        <v>0</v>
      </c>
      <c r="N198" s="191"/>
      <c r="O198" s="25"/>
    </row>
    <row r="199" spans="2:15" x14ac:dyDescent="0.2">
      <c r="B199" s="21"/>
      <c r="C199" s="191"/>
      <c r="D199" s="598" t="s">
        <v>1007</v>
      </c>
      <c r="E199" s="191"/>
      <c r="F199" s="152"/>
      <c r="G199" s="1052"/>
      <c r="H199" s="873">
        <f>7/12*project!H99+5/12*project!I99</f>
        <v>0</v>
      </c>
      <c r="I199" s="873">
        <f>7/12*project!I99+5/12*project!J99</f>
        <v>0</v>
      </c>
      <c r="J199" s="873">
        <f>7/12*project!J99+5/12*project!K99</f>
        <v>0</v>
      </c>
      <c r="K199" s="873">
        <f>7/12*project!K99+5/12*project!L99</f>
        <v>0</v>
      </c>
      <c r="L199" s="873">
        <f>7/12*project!L99+5/12*project!M99</f>
        <v>0</v>
      </c>
      <c r="M199" s="873">
        <f>7/12*project!M99+5/12*project!N99</f>
        <v>0</v>
      </c>
      <c r="N199" s="191"/>
      <c r="O199" s="25"/>
    </row>
    <row r="200" spans="2:15" x14ac:dyDescent="0.2">
      <c r="B200" s="21"/>
      <c r="C200" s="191"/>
      <c r="D200" s="598" t="s">
        <v>1008</v>
      </c>
      <c r="E200" s="191"/>
      <c r="F200" s="152"/>
      <c r="G200" s="1052"/>
      <c r="H200" s="873">
        <f>7/12*project!H122+5/12*project!I122</f>
        <v>0</v>
      </c>
      <c r="I200" s="873">
        <f>7/12*project!I122+5/12*project!J122</f>
        <v>0</v>
      </c>
      <c r="J200" s="873">
        <f>7/12*project!J122+5/12*project!K122</f>
        <v>0</v>
      </c>
      <c r="K200" s="873">
        <f>7/12*project!K122+5/12*project!L122</f>
        <v>0</v>
      </c>
      <c r="L200" s="873">
        <f>7/12*project!L122+5/12*project!M122</f>
        <v>0</v>
      </c>
      <c r="M200" s="873">
        <f>7/12*project!M122+5/12*project!N122</f>
        <v>0</v>
      </c>
      <c r="N200" s="191"/>
      <c r="O200" s="25"/>
    </row>
    <row r="201" spans="2:15" x14ac:dyDescent="0.2">
      <c r="B201" s="21"/>
      <c r="C201" s="191"/>
      <c r="D201" s="598" t="s">
        <v>1009</v>
      </c>
      <c r="E201" s="191"/>
      <c r="F201" s="152"/>
      <c r="G201" s="1052"/>
      <c r="H201" s="873">
        <f>7/12*project!H142+5/12*project!I142</f>
        <v>0</v>
      </c>
      <c r="I201" s="873">
        <f>7/12*project!I142+5/12*project!J142</f>
        <v>0</v>
      </c>
      <c r="J201" s="873">
        <f>7/12*project!J142+5/12*project!K142</f>
        <v>0</v>
      </c>
      <c r="K201" s="873">
        <f>7/12*project!K142+5/12*project!L142</f>
        <v>0</v>
      </c>
      <c r="L201" s="873">
        <f>7/12*project!L142+5/12*project!M142</f>
        <v>0</v>
      </c>
      <c r="M201" s="873">
        <f>7/12*project!M142+5/12*project!N142</f>
        <v>0</v>
      </c>
      <c r="N201" s="191"/>
      <c r="O201" s="25"/>
    </row>
    <row r="202" spans="2:15" x14ac:dyDescent="0.2">
      <c r="B202" s="21"/>
      <c r="C202" s="191"/>
      <c r="D202" s="598" t="s">
        <v>1010</v>
      </c>
      <c r="E202" s="191"/>
      <c r="F202" s="152"/>
      <c r="G202" s="1052"/>
      <c r="H202" s="873">
        <f>7/12*project!H162+5/12*project!I162</f>
        <v>0</v>
      </c>
      <c r="I202" s="873">
        <f>7/12*project!I162+5/12*project!J162</f>
        <v>0</v>
      </c>
      <c r="J202" s="873">
        <f>7/12*project!J162+5/12*project!K162</f>
        <v>0</v>
      </c>
      <c r="K202" s="873">
        <f>7/12*project!K162+5/12*project!L162</f>
        <v>0</v>
      </c>
      <c r="L202" s="873">
        <f>7/12*project!L162+5/12*project!M162</f>
        <v>0</v>
      </c>
      <c r="M202" s="873">
        <f>7/12*project!M162+5/12*project!N162</f>
        <v>0</v>
      </c>
      <c r="N202" s="191"/>
      <c r="O202" s="25"/>
    </row>
    <row r="203" spans="2:15" x14ac:dyDescent="0.2">
      <c r="B203" s="21"/>
      <c r="C203" s="191"/>
      <c r="D203" s="598" t="s">
        <v>1011</v>
      </c>
      <c r="E203" s="191"/>
      <c r="F203" s="152"/>
      <c r="G203" s="1052"/>
      <c r="H203" s="873">
        <f>7/12*project!H182+5/12*project!I182</f>
        <v>0</v>
      </c>
      <c r="I203" s="873">
        <f>7/12*project!I182+5/12*project!J182</f>
        <v>0</v>
      </c>
      <c r="J203" s="873">
        <f>7/12*project!J182+5/12*project!K182</f>
        <v>0</v>
      </c>
      <c r="K203" s="873">
        <f>7/12*project!K182+5/12*project!L182</f>
        <v>0</v>
      </c>
      <c r="L203" s="873">
        <f>7/12*project!L182+5/12*project!M182</f>
        <v>0</v>
      </c>
      <c r="M203" s="873">
        <f>7/12*project!M182+5/12*project!N182</f>
        <v>0</v>
      </c>
      <c r="N203" s="191"/>
      <c r="O203" s="25"/>
    </row>
    <row r="204" spans="2:15" x14ac:dyDescent="0.2">
      <c r="B204" s="21"/>
      <c r="C204" s="191"/>
      <c r="D204" s="598" t="s">
        <v>1012</v>
      </c>
      <c r="E204" s="191"/>
      <c r="F204" s="152"/>
      <c r="G204" s="1052"/>
      <c r="H204" s="873">
        <f>7/12*project!H202+5/12*project!I202</f>
        <v>0</v>
      </c>
      <c r="I204" s="873">
        <f>7/12*project!I202+5/12*project!J202</f>
        <v>0</v>
      </c>
      <c r="J204" s="873">
        <f>7/12*project!J202+5/12*project!K202</f>
        <v>0</v>
      </c>
      <c r="K204" s="873">
        <f>7/12*project!K202+5/12*project!L202</f>
        <v>0</v>
      </c>
      <c r="L204" s="873">
        <f>7/12*project!L202+5/12*project!M202</f>
        <v>0</v>
      </c>
      <c r="M204" s="873">
        <f>7/12*project!M202+5/12*project!N202</f>
        <v>0</v>
      </c>
      <c r="N204" s="191"/>
      <c r="O204" s="25"/>
    </row>
    <row r="205" spans="2:15" x14ac:dyDescent="0.2">
      <c r="B205" s="21"/>
      <c r="C205" s="191"/>
      <c r="D205" s="191"/>
      <c r="E205" s="191"/>
      <c r="F205" s="71"/>
      <c r="G205" s="71"/>
      <c r="H205" s="546">
        <f t="shared" ref="H205:M205" si="58">SUM(H195:H204)</f>
        <v>0</v>
      </c>
      <c r="I205" s="546">
        <f t="shared" si="58"/>
        <v>0</v>
      </c>
      <c r="J205" s="546">
        <f t="shared" si="58"/>
        <v>0</v>
      </c>
      <c r="K205" s="546">
        <f t="shared" si="58"/>
        <v>0</v>
      </c>
      <c r="L205" s="546">
        <f t="shared" si="58"/>
        <v>0</v>
      </c>
      <c r="M205" s="546">
        <f t="shared" si="58"/>
        <v>0</v>
      </c>
      <c r="N205" s="191"/>
      <c r="O205" s="25"/>
    </row>
    <row r="206" spans="2:15" x14ac:dyDescent="0.2">
      <c r="B206" s="21"/>
      <c r="C206" s="35"/>
      <c r="D206" s="539"/>
      <c r="E206" s="540"/>
      <c r="F206" s="541"/>
      <c r="G206" s="541"/>
      <c r="H206" s="541"/>
      <c r="I206" s="541"/>
      <c r="J206" s="541"/>
      <c r="K206" s="541"/>
      <c r="L206" s="541"/>
      <c r="M206" s="541"/>
      <c r="N206" s="35"/>
      <c r="O206" s="25"/>
    </row>
    <row r="207" spans="2:15" x14ac:dyDescent="0.2">
      <c r="B207" s="21"/>
      <c r="C207" s="35"/>
      <c r="D207" s="538"/>
      <c r="E207" s="508"/>
      <c r="F207" s="79"/>
      <c r="G207" s="1572"/>
      <c r="H207" s="79"/>
      <c r="I207" s="79"/>
      <c r="J207" s="79"/>
      <c r="K207" s="79"/>
      <c r="L207" s="79"/>
      <c r="M207" s="79"/>
      <c r="N207" s="35"/>
      <c r="O207" s="25"/>
    </row>
    <row r="208" spans="2:15" x14ac:dyDescent="0.2">
      <c r="B208" s="21"/>
      <c r="C208" s="35"/>
      <c r="D208" s="37" t="s">
        <v>201</v>
      </c>
      <c r="E208" s="35"/>
      <c r="F208" s="186"/>
      <c r="G208" s="186"/>
      <c r="H208" s="545">
        <f>H141+H161+H191+H205</f>
        <v>0</v>
      </c>
      <c r="I208" s="545">
        <f t="shared" ref="I208:M208" si="59">I141+I161+I191+I205</f>
        <v>0</v>
      </c>
      <c r="J208" s="545">
        <f t="shared" si="59"/>
        <v>0</v>
      </c>
      <c r="K208" s="545">
        <f t="shared" si="59"/>
        <v>0</v>
      </c>
      <c r="L208" s="545">
        <f t="shared" si="59"/>
        <v>0</v>
      </c>
      <c r="M208" s="545">
        <f t="shared" si="59"/>
        <v>0</v>
      </c>
      <c r="N208" s="35"/>
      <c r="O208" s="25"/>
    </row>
    <row r="209" spans="2:17" x14ac:dyDescent="0.2">
      <c r="B209" s="21"/>
      <c r="C209" s="35"/>
      <c r="D209" s="35"/>
      <c r="E209" s="35"/>
      <c r="F209" s="186"/>
      <c r="G209" s="186"/>
      <c r="H209" s="186"/>
      <c r="I209" s="186"/>
      <c r="J209" s="186"/>
      <c r="K209" s="186"/>
      <c r="L209" s="186"/>
      <c r="M209" s="186"/>
      <c r="N209" s="35"/>
      <c r="O209" s="25"/>
    </row>
    <row r="210" spans="2:17" x14ac:dyDescent="0.2">
      <c r="B210" s="21"/>
      <c r="C210" s="181"/>
      <c r="D210" s="218"/>
      <c r="E210" s="181"/>
      <c r="F210" s="182"/>
      <c r="G210" s="182"/>
      <c r="H210" s="182"/>
      <c r="I210" s="182"/>
      <c r="J210" s="182"/>
      <c r="K210" s="182"/>
      <c r="L210" s="182"/>
      <c r="M210" s="182"/>
      <c r="N210" s="181"/>
      <c r="O210" s="25"/>
    </row>
    <row r="211" spans="2:17" x14ac:dyDescent="0.2">
      <c r="B211" s="21"/>
      <c r="C211" s="181"/>
      <c r="D211" s="218"/>
      <c r="E211" s="181"/>
      <c r="F211" s="182"/>
      <c r="G211" s="182"/>
      <c r="H211" s="182"/>
      <c r="I211" s="182"/>
      <c r="J211" s="182"/>
      <c r="K211" s="182"/>
      <c r="L211" s="182"/>
      <c r="M211" s="182"/>
      <c r="N211" s="181"/>
      <c r="O211" s="25"/>
    </row>
    <row r="212" spans="2:17" x14ac:dyDescent="0.2">
      <c r="B212" s="21"/>
      <c r="C212" s="35"/>
      <c r="D212" s="35"/>
      <c r="E212" s="35"/>
      <c r="F212" s="186"/>
      <c r="G212" s="186"/>
      <c r="H212" s="186"/>
      <c r="I212" s="186"/>
      <c r="J212" s="186"/>
      <c r="K212" s="186"/>
      <c r="L212" s="186"/>
      <c r="M212" s="186"/>
      <c r="N212" s="35"/>
      <c r="O212" s="25"/>
    </row>
    <row r="213" spans="2:17" x14ac:dyDescent="0.2">
      <c r="B213" s="21"/>
      <c r="C213" s="35"/>
      <c r="D213" s="209" t="s">
        <v>202</v>
      </c>
      <c r="E213" s="35"/>
      <c r="F213" s="186"/>
      <c r="G213" s="186"/>
      <c r="H213" s="544">
        <f t="shared" ref="H213:L213" si="60">H128-H208</f>
        <v>0</v>
      </c>
      <c r="I213" s="544">
        <f t="shared" si="60"/>
        <v>0</v>
      </c>
      <c r="J213" s="544">
        <f t="shared" si="60"/>
        <v>0</v>
      </c>
      <c r="K213" s="544">
        <f t="shared" si="60"/>
        <v>0</v>
      </c>
      <c r="L213" s="544">
        <f t="shared" si="60"/>
        <v>0</v>
      </c>
      <c r="M213" s="544">
        <f>M128-M208</f>
        <v>0</v>
      </c>
      <c r="N213" s="35"/>
      <c r="O213" s="25"/>
    </row>
    <row r="214" spans="2:17" x14ac:dyDescent="0.2">
      <c r="B214" s="21"/>
      <c r="C214" s="35"/>
      <c r="D214" s="35"/>
      <c r="E214" s="35"/>
      <c r="F214" s="186"/>
      <c r="G214" s="186"/>
      <c r="H214" s="186"/>
      <c r="I214" s="186"/>
      <c r="J214" s="186"/>
      <c r="K214" s="186"/>
      <c r="L214" s="186"/>
      <c r="M214" s="186"/>
      <c r="N214" s="35"/>
      <c r="O214" s="25"/>
      <c r="Q214" s="6"/>
    </row>
    <row r="215" spans="2:17" x14ac:dyDescent="0.2">
      <c r="B215" s="21"/>
      <c r="C215" s="22"/>
      <c r="D215" s="22"/>
      <c r="E215" s="22"/>
      <c r="F215" s="24"/>
      <c r="G215" s="24"/>
      <c r="H215" s="24"/>
      <c r="I215" s="24"/>
      <c r="J215" s="24"/>
      <c r="K215" s="24"/>
      <c r="L215" s="24"/>
      <c r="M215" s="24"/>
      <c r="N215" s="22"/>
      <c r="O215" s="25"/>
      <c r="Q215" s="6"/>
    </row>
    <row r="216" spans="2:17" x14ac:dyDescent="0.2">
      <c r="B216" s="936"/>
      <c r="C216" s="22"/>
      <c r="D216" s="22"/>
      <c r="E216" s="22"/>
      <c r="F216" s="24"/>
      <c r="G216" s="24"/>
      <c r="H216" s="970"/>
      <c r="I216" s="970"/>
      <c r="J216" s="970"/>
      <c r="K216" s="970"/>
      <c r="L216" s="970"/>
      <c r="M216" s="970"/>
      <c r="N216" s="971" t="s">
        <v>429</v>
      </c>
      <c r="O216" s="25"/>
      <c r="P216" s="6"/>
      <c r="Q216" s="6"/>
    </row>
    <row r="217" spans="2:17" ht="13.5" thickBot="1" x14ac:dyDescent="0.25">
      <c r="B217" s="952"/>
      <c r="C217" s="952"/>
      <c r="D217" s="952"/>
      <c r="E217" s="952"/>
      <c r="F217" s="1023"/>
      <c r="G217" s="1023"/>
      <c r="H217" s="1025"/>
      <c r="I217" s="1025"/>
      <c r="J217" s="1025"/>
      <c r="K217" s="1025"/>
      <c r="L217" s="1025"/>
      <c r="M217" s="1025"/>
      <c r="N217" s="952"/>
      <c r="O217" s="952"/>
      <c r="P217" s="6"/>
      <c r="Q217" s="6"/>
    </row>
    <row r="218" spans="2:17" ht="13.5" thickTop="1" x14ac:dyDescent="0.2">
      <c r="B218" s="952"/>
      <c r="C218" s="1039"/>
      <c r="D218" s="1040"/>
      <c r="E218" s="1040"/>
      <c r="F218" s="1041"/>
      <c r="G218" s="1041"/>
      <c r="H218" s="1041"/>
      <c r="I218" s="1041"/>
      <c r="J218" s="1041"/>
      <c r="K218" s="1041"/>
      <c r="L218" s="1041"/>
      <c r="M218" s="1041"/>
      <c r="N218" s="1042"/>
      <c r="O218" s="952"/>
      <c r="P218" s="6"/>
      <c r="Q218" s="6"/>
    </row>
    <row r="219" spans="2:17" x14ac:dyDescent="0.2">
      <c r="B219" s="952"/>
      <c r="C219" s="1043"/>
      <c r="D219" s="964"/>
      <c r="E219" s="964"/>
      <c r="F219" s="965"/>
      <c r="G219" s="965"/>
      <c r="H219" s="965"/>
      <c r="I219" s="965"/>
      <c r="J219" s="965"/>
      <c r="K219" s="965"/>
      <c r="L219" s="965"/>
      <c r="M219" s="965"/>
      <c r="N219" s="1044"/>
      <c r="O219" s="952"/>
      <c r="P219" s="6"/>
      <c r="Q219" s="6"/>
    </row>
    <row r="220" spans="2:17" x14ac:dyDescent="0.2">
      <c r="B220" s="952"/>
      <c r="C220" s="1043"/>
      <c r="D220" s="964"/>
      <c r="E220" s="964"/>
      <c r="F220" s="965"/>
      <c r="G220" s="965"/>
      <c r="H220" s="965"/>
      <c r="I220" s="965"/>
      <c r="J220" s="965"/>
      <c r="K220" s="965"/>
      <c r="L220" s="965"/>
      <c r="M220" s="965"/>
      <c r="N220" s="1044"/>
      <c r="O220" s="952"/>
      <c r="P220" s="6"/>
      <c r="Q220" s="6"/>
    </row>
    <row r="221" spans="2:17" x14ac:dyDescent="0.2">
      <c r="B221" s="952"/>
      <c r="C221" s="1043"/>
      <c r="D221" s="964"/>
      <c r="E221" s="964"/>
      <c r="F221" s="965"/>
      <c r="G221" s="965"/>
      <c r="H221" s="966"/>
      <c r="I221" s="965"/>
      <c r="J221" s="965"/>
      <c r="K221" s="965"/>
      <c r="L221" s="965"/>
      <c r="M221" s="965"/>
      <c r="N221" s="1044"/>
      <c r="O221" s="952"/>
      <c r="P221" s="6"/>
      <c r="Q221" s="6"/>
    </row>
    <row r="222" spans="2:17" x14ac:dyDescent="0.2">
      <c r="B222" s="952"/>
      <c r="C222" s="1043"/>
      <c r="D222" s="1026" t="s">
        <v>644</v>
      </c>
      <c r="E222" s="990"/>
      <c r="F222" s="991"/>
      <c r="G222" s="991"/>
      <c r="H222" s="1027">
        <f>tab!E4</f>
        <v>2015</v>
      </c>
      <c r="I222" s="1027">
        <f>tab!F4</f>
        <v>2016</v>
      </c>
      <c r="J222" s="1027">
        <f>tab!G4</f>
        <v>2017</v>
      </c>
      <c r="K222" s="1027">
        <f>tab!H4</f>
        <v>2018</v>
      </c>
      <c r="L222" s="1027">
        <f>tab!I4</f>
        <v>2019</v>
      </c>
      <c r="M222" s="1027">
        <f>tab!J4</f>
        <v>2020</v>
      </c>
      <c r="N222" s="1045"/>
      <c r="O222" s="1024"/>
      <c r="P222" s="214"/>
      <c r="Q222" s="6"/>
    </row>
    <row r="223" spans="2:17" x14ac:dyDescent="0.2">
      <c r="B223" s="952"/>
      <c r="C223" s="1043"/>
      <c r="D223" s="1028" t="s">
        <v>95</v>
      </c>
      <c r="E223" s="990"/>
      <c r="F223" s="991"/>
      <c r="G223" s="991"/>
      <c r="H223" s="991"/>
      <c r="I223" s="991"/>
      <c r="J223" s="991"/>
      <c r="K223" s="991"/>
      <c r="L223" s="991"/>
      <c r="M223" s="991"/>
      <c r="N223" s="1045"/>
      <c r="O223" s="1024"/>
      <c r="P223" s="214"/>
      <c r="Q223" s="6"/>
    </row>
    <row r="224" spans="2:17" x14ac:dyDescent="0.2">
      <c r="B224" s="952"/>
      <c r="C224" s="1043"/>
      <c r="D224" s="990" t="s">
        <v>215</v>
      </c>
      <c r="E224" s="990"/>
      <c r="F224" s="991"/>
      <c r="G224" s="991"/>
      <c r="H224" s="1029">
        <f>H231+H238</f>
        <v>0</v>
      </c>
      <c r="I224" s="1029">
        <f t="shared" ref="I224:M224" si="61">I231+I238</f>
        <v>0</v>
      </c>
      <c r="J224" s="1029">
        <f t="shared" si="61"/>
        <v>0</v>
      </c>
      <c r="K224" s="1029">
        <f t="shared" si="61"/>
        <v>0</v>
      </c>
      <c r="L224" s="1029">
        <f t="shared" si="61"/>
        <v>0</v>
      </c>
      <c r="M224" s="1029">
        <f t="shared" si="61"/>
        <v>0</v>
      </c>
      <c r="N224" s="1045"/>
      <c r="O224" s="1024"/>
      <c r="P224" s="214"/>
      <c r="Q224" s="6"/>
    </row>
    <row r="225" spans="2:17" x14ac:dyDescent="0.2">
      <c r="B225" s="952"/>
      <c r="C225" s="1043"/>
      <c r="D225" s="990" t="s">
        <v>195</v>
      </c>
      <c r="E225" s="990"/>
      <c r="F225" s="991"/>
      <c r="G225" s="991"/>
      <c r="H225" s="1029">
        <f t="shared" ref="H225:M228" si="62">H232+H239</f>
        <v>0</v>
      </c>
      <c r="I225" s="1029">
        <f t="shared" si="62"/>
        <v>0</v>
      </c>
      <c r="J225" s="1029">
        <f t="shared" si="62"/>
        <v>0</v>
      </c>
      <c r="K225" s="1029">
        <f t="shared" si="62"/>
        <v>0</v>
      </c>
      <c r="L225" s="1029">
        <f t="shared" si="62"/>
        <v>0</v>
      </c>
      <c r="M225" s="1029">
        <f t="shared" si="62"/>
        <v>0</v>
      </c>
      <c r="N225" s="1045"/>
      <c r="O225" s="1024"/>
      <c r="P225" s="214"/>
      <c r="Q225" s="6"/>
    </row>
    <row r="226" spans="2:17" x14ac:dyDescent="0.2">
      <c r="B226" s="952"/>
      <c r="C226" s="1043"/>
      <c r="D226" s="990" t="s">
        <v>209</v>
      </c>
      <c r="E226" s="990"/>
      <c r="F226" s="991"/>
      <c r="G226" s="991"/>
      <c r="H226" s="1029">
        <f t="shared" si="62"/>
        <v>0</v>
      </c>
      <c r="I226" s="1029">
        <f t="shared" si="62"/>
        <v>0</v>
      </c>
      <c r="J226" s="1029">
        <f t="shared" si="62"/>
        <v>0</v>
      </c>
      <c r="K226" s="1029">
        <f t="shared" si="62"/>
        <v>0</v>
      </c>
      <c r="L226" s="1029">
        <f t="shared" si="62"/>
        <v>0</v>
      </c>
      <c r="M226" s="1029">
        <f t="shared" si="62"/>
        <v>0</v>
      </c>
      <c r="N226" s="1045"/>
      <c r="O226" s="1024"/>
      <c r="P226" s="214"/>
      <c r="Q226" s="6"/>
    </row>
    <row r="227" spans="2:17" x14ac:dyDescent="0.2">
      <c r="B227" s="952"/>
      <c r="C227" s="1043"/>
      <c r="D227" s="990" t="s">
        <v>118</v>
      </c>
      <c r="E227" s="990"/>
      <c r="F227" s="991"/>
      <c r="G227" s="991"/>
      <c r="H227" s="1029">
        <f t="shared" si="62"/>
        <v>0</v>
      </c>
      <c r="I227" s="1029">
        <f t="shared" si="62"/>
        <v>0</v>
      </c>
      <c r="J227" s="1029">
        <f t="shared" si="62"/>
        <v>0</v>
      </c>
      <c r="K227" s="1029">
        <f t="shared" si="62"/>
        <v>0</v>
      </c>
      <c r="L227" s="1029">
        <f t="shared" si="62"/>
        <v>0</v>
      </c>
      <c r="M227" s="1029">
        <f t="shared" si="62"/>
        <v>0</v>
      </c>
      <c r="N227" s="1045"/>
      <c r="O227" s="1024"/>
      <c r="P227" s="214"/>
      <c r="Q227" s="6"/>
    </row>
    <row r="228" spans="2:17" x14ac:dyDescent="0.2">
      <c r="B228" s="952"/>
      <c r="C228" s="1043"/>
      <c r="D228" s="990" t="s">
        <v>216</v>
      </c>
      <c r="E228" s="990"/>
      <c r="F228" s="991"/>
      <c r="G228" s="991"/>
      <c r="H228" s="1029">
        <f t="shared" si="62"/>
        <v>0</v>
      </c>
      <c r="I228" s="1029">
        <f t="shared" si="62"/>
        <v>0</v>
      </c>
      <c r="J228" s="1029">
        <f t="shared" si="62"/>
        <v>0</v>
      </c>
      <c r="K228" s="1029">
        <f t="shared" si="62"/>
        <v>0</v>
      </c>
      <c r="L228" s="1029">
        <f t="shared" si="62"/>
        <v>0</v>
      </c>
      <c r="M228" s="1029">
        <f t="shared" si="62"/>
        <v>0</v>
      </c>
      <c r="N228" s="1045"/>
      <c r="O228" s="1024"/>
      <c r="P228" s="214"/>
      <c r="Q228" s="6"/>
    </row>
    <row r="229" spans="2:17" x14ac:dyDescent="0.2">
      <c r="B229" s="952"/>
      <c r="C229" s="1043"/>
      <c r="D229" s="990"/>
      <c r="E229" s="990"/>
      <c r="F229" s="991"/>
      <c r="G229" s="991"/>
      <c r="H229" s="991"/>
      <c r="I229" s="991"/>
      <c r="J229" s="991"/>
      <c r="K229" s="991"/>
      <c r="L229" s="991"/>
      <c r="M229" s="991"/>
      <c r="N229" s="1046"/>
      <c r="O229" s="952"/>
      <c r="P229" s="6"/>
      <c r="Q229" s="6"/>
    </row>
    <row r="230" spans="2:17" x14ac:dyDescent="0.2">
      <c r="B230" s="952"/>
      <c r="C230" s="1043"/>
      <c r="D230" s="1028" t="s">
        <v>35</v>
      </c>
      <c r="E230" s="990"/>
      <c r="F230" s="991"/>
      <c r="G230" s="991"/>
      <c r="H230" s="991"/>
      <c r="I230" s="991"/>
      <c r="J230" s="991"/>
      <c r="K230" s="991"/>
      <c r="L230" s="991"/>
      <c r="M230" s="991"/>
      <c r="N230" s="1046"/>
      <c r="O230" s="952"/>
      <c r="P230" s="6"/>
      <c r="Q230" s="6"/>
    </row>
    <row r="231" spans="2:17" x14ac:dyDescent="0.2">
      <c r="B231" s="952"/>
      <c r="C231" s="1043"/>
      <c r="D231" s="990" t="s">
        <v>215</v>
      </c>
      <c r="E231" s="990"/>
      <c r="F231" s="991"/>
      <c r="G231" s="991"/>
      <c r="H231" s="1029">
        <f t="shared" ref="H231:M231" si="63">H35</f>
        <v>0</v>
      </c>
      <c r="I231" s="1029">
        <f t="shared" si="63"/>
        <v>0</v>
      </c>
      <c r="J231" s="1029">
        <f t="shared" si="63"/>
        <v>0</v>
      </c>
      <c r="K231" s="1029">
        <f t="shared" si="63"/>
        <v>0</v>
      </c>
      <c r="L231" s="1029">
        <f t="shared" si="63"/>
        <v>0</v>
      </c>
      <c r="M231" s="1029">
        <f t="shared" si="63"/>
        <v>0</v>
      </c>
      <c r="N231" s="1046"/>
      <c r="O231" s="952"/>
      <c r="P231" s="6"/>
      <c r="Q231" s="6"/>
    </row>
    <row r="232" spans="2:17" x14ac:dyDescent="0.2">
      <c r="B232" s="952"/>
      <c r="C232" s="1043"/>
      <c r="D232" s="990" t="s">
        <v>195</v>
      </c>
      <c r="E232" s="990"/>
      <c r="F232" s="991"/>
      <c r="G232" s="991"/>
      <c r="H232" s="1029">
        <f t="shared" ref="H232" si="64">H87</f>
        <v>0</v>
      </c>
      <c r="I232" s="1029">
        <f t="shared" ref="I232:M232" si="65">I87</f>
        <v>0</v>
      </c>
      <c r="J232" s="1029">
        <f t="shared" si="65"/>
        <v>0</v>
      </c>
      <c r="K232" s="1029">
        <f t="shared" si="65"/>
        <v>0</v>
      </c>
      <c r="L232" s="1029">
        <f t="shared" si="65"/>
        <v>0</v>
      </c>
      <c r="M232" s="1029">
        <f t="shared" si="65"/>
        <v>0</v>
      </c>
      <c r="N232" s="1046"/>
      <c r="O232" s="952"/>
      <c r="P232" s="6"/>
      <c r="Q232" s="6"/>
    </row>
    <row r="233" spans="2:17" x14ac:dyDescent="0.2">
      <c r="B233" s="952"/>
      <c r="C233" s="1043"/>
      <c r="D233" s="990" t="s">
        <v>209</v>
      </c>
      <c r="E233" s="990"/>
      <c r="F233" s="991"/>
      <c r="G233" s="991"/>
      <c r="H233" s="1029">
        <f t="shared" ref="H233" si="66">H107</f>
        <v>0</v>
      </c>
      <c r="I233" s="1029">
        <f t="shared" ref="I233:M233" si="67">I107</f>
        <v>0</v>
      </c>
      <c r="J233" s="1029">
        <f t="shared" si="67"/>
        <v>0</v>
      </c>
      <c r="K233" s="1029">
        <f t="shared" si="67"/>
        <v>0</v>
      </c>
      <c r="L233" s="1029">
        <f t="shared" si="67"/>
        <v>0</v>
      </c>
      <c r="M233" s="1029">
        <f t="shared" si="67"/>
        <v>0</v>
      </c>
      <c r="N233" s="1046"/>
      <c r="O233" s="952"/>
      <c r="P233" s="6"/>
      <c r="Q233" s="6"/>
    </row>
    <row r="234" spans="2:17" x14ac:dyDescent="0.2">
      <c r="B234" s="952"/>
      <c r="C234" s="1043"/>
      <c r="D234" s="990" t="s">
        <v>118</v>
      </c>
      <c r="E234" s="990"/>
      <c r="F234" s="991"/>
      <c r="G234" s="991"/>
      <c r="H234" s="1029">
        <f t="shared" ref="H234" si="68">H112-H233</f>
        <v>0</v>
      </c>
      <c r="I234" s="1029">
        <f t="shared" ref="I234:M234" si="69">I112-I233</f>
        <v>0</v>
      </c>
      <c r="J234" s="1029">
        <f t="shared" si="69"/>
        <v>0</v>
      </c>
      <c r="K234" s="1029">
        <f t="shared" si="69"/>
        <v>0</v>
      </c>
      <c r="L234" s="1029">
        <f t="shared" si="69"/>
        <v>0</v>
      </c>
      <c r="M234" s="1029">
        <f t="shared" si="69"/>
        <v>0</v>
      </c>
      <c r="N234" s="1046"/>
      <c r="O234" s="952"/>
      <c r="P234" s="6"/>
      <c r="Q234" s="6"/>
    </row>
    <row r="235" spans="2:17" x14ac:dyDescent="0.2">
      <c r="B235" s="952"/>
      <c r="C235" s="1043"/>
      <c r="D235" s="990" t="s">
        <v>216</v>
      </c>
      <c r="E235" s="990"/>
      <c r="F235" s="991"/>
      <c r="G235" s="991"/>
      <c r="H235" s="1029">
        <f t="shared" ref="H235" si="70">H161</f>
        <v>0</v>
      </c>
      <c r="I235" s="1029">
        <f t="shared" ref="I235:M235" si="71">I161</f>
        <v>0</v>
      </c>
      <c r="J235" s="1029">
        <f t="shared" si="71"/>
        <v>0</v>
      </c>
      <c r="K235" s="1029">
        <f t="shared" si="71"/>
        <v>0</v>
      </c>
      <c r="L235" s="1029">
        <f t="shared" si="71"/>
        <v>0</v>
      </c>
      <c r="M235" s="1029">
        <f t="shared" si="71"/>
        <v>0</v>
      </c>
      <c r="N235" s="1046"/>
      <c r="O235" s="952"/>
      <c r="P235" s="6"/>
      <c r="Q235" s="6"/>
    </row>
    <row r="236" spans="2:17" x14ac:dyDescent="0.2">
      <c r="B236" s="952"/>
      <c r="C236" s="1043"/>
      <c r="D236" s="990"/>
      <c r="E236" s="990"/>
      <c r="F236" s="991"/>
      <c r="G236" s="991"/>
      <c r="H236" s="991"/>
      <c r="I236" s="991"/>
      <c r="J236" s="991"/>
      <c r="K236" s="991"/>
      <c r="L236" s="991"/>
      <c r="M236" s="991"/>
      <c r="N236" s="1046"/>
      <c r="O236" s="952"/>
      <c r="P236" s="6"/>
      <c r="Q236" s="6"/>
    </row>
    <row r="237" spans="2:17" x14ac:dyDescent="0.2">
      <c r="B237" s="952"/>
      <c r="C237" s="1043"/>
      <c r="D237" s="1028" t="s">
        <v>36</v>
      </c>
      <c r="E237" s="990"/>
      <c r="F237" s="991"/>
      <c r="G237" s="991"/>
      <c r="H237" s="991"/>
      <c r="I237" s="991"/>
      <c r="J237" s="991"/>
      <c r="K237" s="991"/>
      <c r="L237" s="991"/>
      <c r="M237" s="991"/>
      <c r="N237" s="1046"/>
      <c r="O237" s="952"/>
      <c r="P237" s="6"/>
      <c r="Q237" s="6"/>
    </row>
    <row r="238" spans="2:17" x14ac:dyDescent="0.2">
      <c r="B238" s="952"/>
      <c r="C238" s="1043"/>
      <c r="D238" s="990" t="s">
        <v>215</v>
      </c>
      <c r="E238" s="990"/>
      <c r="F238" s="991"/>
      <c r="G238" s="991"/>
      <c r="H238" s="1029">
        <f t="shared" ref="H238:M238" si="72">H52</f>
        <v>0</v>
      </c>
      <c r="I238" s="1029">
        <f t="shared" si="72"/>
        <v>0</v>
      </c>
      <c r="J238" s="1029">
        <f t="shared" si="72"/>
        <v>0</v>
      </c>
      <c r="K238" s="1029">
        <f t="shared" si="72"/>
        <v>0</v>
      </c>
      <c r="L238" s="1029">
        <f t="shared" si="72"/>
        <v>0</v>
      </c>
      <c r="M238" s="1029">
        <f t="shared" si="72"/>
        <v>0</v>
      </c>
      <c r="N238" s="1046"/>
      <c r="O238" s="952"/>
      <c r="P238" s="6"/>
      <c r="Q238" s="6"/>
    </row>
    <row r="239" spans="2:17" x14ac:dyDescent="0.2">
      <c r="B239" s="952"/>
      <c r="C239" s="1043"/>
      <c r="D239" s="990" t="s">
        <v>195</v>
      </c>
      <c r="E239" s="990"/>
      <c r="F239" s="991"/>
      <c r="G239" s="991"/>
      <c r="H239" s="1030">
        <f>H96</f>
        <v>0</v>
      </c>
      <c r="I239" s="1030">
        <f t="shared" ref="I239:M239" si="73">I96</f>
        <v>0</v>
      </c>
      <c r="J239" s="1030">
        <f t="shared" si="73"/>
        <v>0</v>
      </c>
      <c r="K239" s="1030">
        <f t="shared" si="73"/>
        <v>0</v>
      </c>
      <c r="L239" s="1030">
        <f t="shared" si="73"/>
        <v>0</v>
      </c>
      <c r="M239" s="1030">
        <f t="shared" si="73"/>
        <v>0</v>
      </c>
      <c r="N239" s="1046"/>
      <c r="O239" s="952"/>
      <c r="P239" s="6"/>
      <c r="Q239" s="6"/>
    </row>
    <row r="240" spans="2:17" x14ac:dyDescent="0.2">
      <c r="B240" s="952"/>
      <c r="C240" s="1043"/>
      <c r="D240" s="990" t="s">
        <v>209</v>
      </c>
      <c r="E240" s="990"/>
      <c r="F240" s="991"/>
      <c r="G240" s="991"/>
      <c r="H240" s="1030">
        <f>H116</f>
        <v>0</v>
      </c>
      <c r="I240" s="1030">
        <f t="shared" ref="I240:M240" si="74">I116</f>
        <v>0</v>
      </c>
      <c r="J240" s="1030">
        <f t="shared" si="74"/>
        <v>0</v>
      </c>
      <c r="K240" s="1030">
        <f t="shared" si="74"/>
        <v>0</v>
      </c>
      <c r="L240" s="1030">
        <f t="shared" si="74"/>
        <v>0</v>
      </c>
      <c r="M240" s="1030">
        <f t="shared" si="74"/>
        <v>0</v>
      </c>
      <c r="N240" s="1046"/>
      <c r="O240" s="952"/>
      <c r="P240" s="6"/>
      <c r="Q240" s="6"/>
    </row>
    <row r="241" spans="2:17" x14ac:dyDescent="0.2">
      <c r="B241" s="952"/>
      <c r="C241" s="1043"/>
      <c r="D241" s="990" t="s">
        <v>118</v>
      </c>
      <c r="E241" s="990"/>
      <c r="F241" s="991"/>
      <c r="G241" s="991"/>
      <c r="H241" s="1030">
        <f>H121-H240</f>
        <v>0</v>
      </c>
      <c r="I241" s="1030">
        <f t="shared" ref="I241:M241" si="75">I121-I240</f>
        <v>0</v>
      </c>
      <c r="J241" s="1030">
        <f t="shared" si="75"/>
        <v>0</v>
      </c>
      <c r="K241" s="1030">
        <f t="shared" si="75"/>
        <v>0</v>
      </c>
      <c r="L241" s="1030">
        <f t="shared" si="75"/>
        <v>0</v>
      </c>
      <c r="M241" s="1030">
        <f t="shared" si="75"/>
        <v>0</v>
      </c>
      <c r="N241" s="1046"/>
      <c r="O241" s="952"/>
      <c r="P241" s="6"/>
      <c r="Q241" s="6"/>
    </row>
    <row r="242" spans="2:17" x14ac:dyDescent="0.2">
      <c r="B242" s="952"/>
      <c r="C242" s="1043"/>
      <c r="D242" s="967" t="s">
        <v>663</v>
      </c>
      <c r="E242" s="990"/>
      <c r="F242" s="991"/>
      <c r="G242" s="991"/>
      <c r="H242" s="1030">
        <f t="shared" ref="H242" si="76">+H191</f>
        <v>0</v>
      </c>
      <c r="I242" s="1030">
        <f t="shared" ref="I242:M242" si="77">+I191</f>
        <v>0</v>
      </c>
      <c r="J242" s="1030">
        <f t="shared" si="77"/>
        <v>0</v>
      </c>
      <c r="K242" s="1030">
        <f t="shared" si="77"/>
        <v>0</v>
      </c>
      <c r="L242" s="1030">
        <f t="shared" si="77"/>
        <v>0</v>
      </c>
      <c r="M242" s="1030">
        <f t="shared" si="77"/>
        <v>0</v>
      </c>
      <c r="N242" s="1046"/>
      <c r="O242" s="952"/>
      <c r="P242" s="6"/>
      <c r="Q242" s="6"/>
    </row>
    <row r="243" spans="2:17" x14ac:dyDescent="0.2">
      <c r="B243" s="952"/>
      <c r="C243" s="1043"/>
      <c r="D243" s="964"/>
      <c r="E243" s="964"/>
      <c r="F243" s="965"/>
      <c r="G243" s="965"/>
      <c r="H243" s="965"/>
      <c r="I243" s="965"/>
      <c r="J243" s="965"/>
      <c r="K243" s="965"/>
      <c r="L243" s="965"/>
      <c r="M243" s="965"/>
      <c r="N243" s="1044"/>
      <c r="O243" s="952"/>
      <c r="P243" s="6"/>
      <c r="Q243" s="6"/>
    </row>
    <row r="244" spans="2:17" x14ac:dyDescent="0.2">
      <c r="B244" s="952"/>
      <c r="C244" s="1043"/>
      <c r="D244" s="1031" t="s">
        <v>603</v>
      </c>
      <c r="E244" s="968"/>
      <c r="F244" s="969"/>
      <c r="G244" s="969"/>
      <c r="H244" s="1032">
        <f>H141</f>
        <v>0</v>
      </c>
      <c r="I244" s="1032">
        <f t="shared" ref="I244:M244" si="78">I141</f>
        <v>0</v>
      </c>
      <c r="J244" s="1032">
        <f t="shared" si="78"/>
        <v>0</v>
      </c>
      <c r="K244" s="1032">
        <f t="shared" si="78"/>
        <v>0</v>
      </c>
      <c r="L244" s="1032">
        <f t="shared" si="78"/>
        <v>0</v>
      </c>
      <c r="M244" s="1032">
        <f t="shared" si="78"/>
        <v>0</v>
      </c>
      <c r="N244" s="1044"/>
      <c r="O244" s="952"/>
      <c r="P244" s="6"/>
      <c r="Q244" s="6"/>
    </row>
    <row r="245" spans="2:17" x14ac:dyDescent="0.2">
      <c r="B245" s="952"/>
      <c r="C245" s="1043"/>
      <c r="D245" s="1031" t="s">
        <v>493</v>
      </c>
      <c r="E245" s="968"/>
      <c r="F245" s="969"/>
      <c r="G245" s="969"/>
      <c r="H245" s="1032">
        <f t="shared" ref="H245" si="79">H128</f>
        <v>0</v>
      </c>
      <c r="I245" s="1032">
        <f t="shared" ref="I245:M245" si="80">I128</f>
        <v>0</v>
      </c>
      <c r="J245" s="1032">
        <f t="shared" si="80"/>
        <v>0</v>
      </c>
      <c r="K245" s="1032">
        <f t="shared" si="80"/>
        <v>0</v>
      </c>
      <c r="L245" s="1032">
        <f t="shared" si="80"/>
        <v>0</v>
      </c>
      <c r="M245" s="1032">
        <f t="shared" si="80"/>
        <v>0</v>
      </c>
      <c r="N245" s="1044"/>
      <c r="O245" s="952"/>
      <c r="P245" s="6"/>
      <c r="Q245" s="6"/>
    </row>
    <row r="246" spans="2:17" x14ac:dyDescent="0.2">
      <c r="B246" s="952"/>
      <c r="C246" s="1043"/>
      <c r="D246" s="1031" t="s">
        <v>652</v>
      </c>
      <c r="E246" s="968"/>
      <c r="F246" s="969"/>
      <c r="G246" s="969"/>
      <c r="H246" s="1032">
        <f t="shared" ref="H246" si="81">H208</f>
        <v>0</v>
      </c>
      <c r="I246" s="1032">
        <f t="shared" ref="I246:M246" si="82">I208</f>
        <v>0</v>
      </c>
      <c r="J246" s="1032">
        <f t="shared" si="82"/>
        <v>0</v>
      </c>
      <c r="K246" s="1032">
        <f t="shared" si="82"/>
        <v>0</v>
      </c>
      <c r="L246" s="1032">
        <f t="shared" si="82"/>
        <v>0</v>
      </c>
      <c r="M246" s="1032">
        <f t="shared" si="82"/>
        <v>0</v>
      </c>
      <c r="N246" s="1044"/>
      <c r="O246" s="952"/>
      <c r="P246" s="6"/>
      <c r="Q246" s="6"/>
    </row>
    <row r="247" spans="2:17" x14ac:dyDescent="0.2">
      <c r="B247" s="952"/>
      <c r="C247" s="1043"/>
      <c r="D247" s="1031" t="s">
        <v>649</v>
      </c>
      <c r="E247" s="968"/>
      <c r="F247" s="969"/>
      <c r="G247" s="969"/>
      <c r="H247" s="1032">
        <f t="shared" ref="H247" si="83">+H205</f>
        <v>0</v>
      </c>
      <c r="I247" s="1032">
        <f t="shared" ref="I247:M247" si="84">+I205</f>
        <v>0</v>
      </c>
      <c r="J247" s="1032">
        <f t="shared" si="84"/>
        <v>0</v>
      </c>
      <c r="K247" s="1032">
        <f t="shared" si="84"/>
        <v>0</v>
      </c>
      <c r="L247" s="1032">
        <f t="shared" si="84"/>
        <v>0</v>
      </c>
      <c r="M247" s="1032">
        <f t="shared" si="84"/>
        <v>0</v>
      </c>
      <c r="N247" s="1044"/>
      <c r="O247" s="952"/>
      <c r="P247" s="6"/>
      <c r="Q247" s="6"/>
    </row>
    <row r="248" spans="2:17" x14ac:dyDescent="0.2">
      <c r="B248" s="952"/>
      <c r="C248" s="1043"/>
      <c r="D248" s="968"/>
      <c r="E248" s="968"/>
      <c r="F248" s="969"/>
      <c r="G248" s="969"/>
      <c r="H248" s="1033"/>
      <c r="I248" s="1033"/>
      <c r="J248" s="1033"/>
      <c r="K248" s="1033"/>
      <c r="L248" s="1033"/>
      <c r="M248" s="1033"/>
      <c r="N248" s="1044"/>
      <c r="O248" s="952"/>
      <c r="P248" s="6"/>
      <c r="Q248" s="6"/>
    </row>
    <row r="249" spans="2:17" x14ac:dyDescent="0.2">
      <c r="B249" s="952"/>
      <c r="C249" s="1043"/>
      <c r="D249" s="1034" t="s">
        <v>653</v>
      </c>
      <c r="E249" s="968"/>
      <c r="F249" s="969"/>
      <c r="G249" s="969"/>
      <c r="H249" s="1035">
        <f t="shared" ref="H249" si="85">+H245-H246</f>
        <v>0</v>
      </c>
      <c r="I249" s="1035">
        <f t="shared" ref="I249:M249" si="86">+I245-I246</f>
        <v>0</v>
      </c>
      <c r="J249" s="1035">
        <f t="shared" si="86"/>
        <v>0</v>
      </c>
      <c r="K249" s="1035">
        <f t="shared" si="86"/>
        <v>0</v>
      </c>
      <c r="L249" s="1035">
        <f t="shared" si="86"/>
        <v>0</v>
      </c>
      <c r="M249" s="1035">
        <f t="shared" si="86"/>
        <v>0</v>
      </c>
      <c r="N249" s="1044"/>
      <c r="O249" s="952"/>
      <c r="P249" s="6"/>
      <c r="Q249" s="6"/>
    </row>
    <row r="250" spans="2:17" x14ac:dyDescent="0.2">
      <c r="B250" s="952"/>
      <c r="C250" s="1043"/>
      <c r="D250" s="968"/>
      <c r="E250" s="968"/>
      <c r="F250" s="969"/>
      <c r="G250" s="969"/>
      <c r="H250" s="1033"/>
      <c r="I250" s="1033"/>
      <c r="J250" s="1033"/>
      <c r="K250" s="965"/>
      <c r="L250" s="965"/>
      <c r="M250" s="965"/>
      <c r="N250" s="1044"/>
      <c r="O250" s="952"/>
      <c r="P250" s="6"/>
      <c r="Q250" s="6"/>
    </row>
    <row r="251" spans="2:17" x14ac:dyDescent="0.2">
      <c r="B251" s="952"/>
      <c r="C251" s="1043"/>
      <c r="D251" s="968"/>
      <c r="E251" s="968"/>
      <c r="F251" s="969"/>
      <c r="G251" s="969"/>
      <c r="H251" s="1033"/>
      <c r="I251" s="1033"/>
      <c r="J251" s="1033"/>
      <c r="K251" s="965"/>
      <c r="L251" s="965"/>
      <c r="M251" s="965"/>
      <c r="N251" s="1044"/>
      <c r="O251" s="952"/>
      <c r="P251" s="6"/>
      <c r="Q251" s="6"/>
    </row>
    <row r="252" spans="2:17" x14ac:dyDescent="0.2">
      <c r="B252" s="952"/>
      <c r="C252" s="1043"/>
      <c r="D252" s="1026" t="s">
        <v>648</v>
      </c>
      <c r="E252" s="990"/>
      <c r="F252" s="991"/>
      <c r="G252" s="991"/>
      <c r="H252" s="1027" t="str">
        <f t="shared" ref="H252:M252" si="87">+H55</f>
        <v>2015/16</v>
      </c>
      <c r="I252" s="1027" t="str">
        <f t="shared" si="87"/>
        <v>2016/17</v>
      </c>
      <c r="J252" s="1027" t="str">
        <f t="shared" si="87"/>
        <v>2017/18</v>
      </c>
      <c r="K252" s="1027" t="str">
        <f t="shared" si="87"/>
        <v>2018/19</v>
      </c>
      <c r="L252" s="1027" t="str">
        <f t="shared" si="87"/>
        <v>2019/20</v>
      </c>
      <c r="M252" s="1027" t="str">
        <f t="shared" si="87"/>
        <v>2020/21</v>
      </c>
      <c r="N252" s="1044"/>
      <c r="O252" s="952"/>
      <c r="P252" s="6"/>
      <c r="Q252" s="6"/>
    </row>
    <row r="253" spans="2:17" x14ac:dyDescent="0.2">
      <c r="B253" s="952"/>
      <c r="C253" s="1043"/>
      <c r="D253" s="1028" t="s">
        <v>95</v>
      </c>
      <c r="E253" s="990"/>
      <c r="F253" s="991"/>
      <c r="G253" s="991"/>
      <c r="H253" s="991"/>
      <c r="I253" s="991"/>
      <c r="J253" s="991"/>
      <c r="K253" s="991"/>
      <c r="L253" s="991"/>
      <c r="M253" s="991"/>
      <c r="N253" s="1044"/>
      <c r="O253" s="952"/>
      <c r="P253" s="6"/>
      <c r="Q253" s="6"/>
    </row>
    <row r="254" spans="2:17" x14ac:dyDescent="0.2">
      <c r="B254" s="952"/>
      <c r="C254" s="1043"/>
      <c r="D254" s="990" t="s">
        <v>215</v>
      </c>
      <c r="E254" s="990"/>
      <c r="F254" s="991"/>
      <c r="G254" s="991"/>
      <c r="H254" s="1029">
        <f t="shared" ref="H254" si="88">+H261+H268</f>
        <v>0</v>
      </c>
      <c r="I254" s="1029">
        <f t="shared" ref="I254:M254" si="89">+I261+I268</f>
        <v>0</v>
      </c>
      <c r="J254" s="1029">
        <f t="shared" si="89"/>
        <v>0</v>
      </c>
      <c r="K254" s="1029">
        <f t="shared" si="89"/>
        <v>0</v>
      </c>
      <c r="L254" s="1029">
        <f t="shared" si="89"/>
        <v>0</v>
      </c>
      <c r="M254" s="1029">
        <f t="shared" si="89"/>
        <v>0</v>
      </c>
      <c r="N254" s="1044"/>
      <c r="O254" s="952"/>
      <c r="P254" s="6"/>
      <c r="Q254" s="6"/>
    </row>
    <row r="255" spans="2:17" x14ac:dyDescent="0.2">
      <c r="B255" s="952"/>
      <c r="C255" s="1043"/>
      <c r="D255" s="990" t="s">
        <v>195</v>
      </c>
      <c r="E255" s="990"/>
      <c r="F255" s="991"/>
      <c r="G255" s="991"/>
      <c r="H255" s="1029">
        <f t="shared" ref="H255:M255" si="90">+H262+H269</f>
        <v>0</v>
      </c>
      <c r="I255" s="1029">
        <f t="shared" si="90"/>
        <v>0</v>
      </c>
      <c r="J255" s="1029">
        <f t="shared" si="90"/>
        <v>0</v>
      </c>
      <c r="K255" s="1029">
        <f t="shared" si="90"/>
        <v>0</v>
      </c>
      <c r="L255" s="1029">
        <f t="shared" si="90"/>
        <v>0</v>
      </c>
      <c r="M255" s="1029">
        <f t="shared" si="90"/>
        <v>0</v>
      </c>
      <c r="N255" s="1044"/>
      <c r="O255" s="952"/>
      <c r="P255" s="6"/>
      <c r="Q255" s="6"/>
    </row>
    <row r="256" spans="2:17" x14ac:dyDescent="0.2">
      <c r="B256" s="952"/>
      <c r="C256" s="1043"/>
      <c r="D256" s="990" t="s">
        <v>209</v>
      </c>
      <c r="E256" s="990"/>
      <c r="F256" s="991"/>
      <c r="G256" s="991"/>
      <c r="H256" s="1029">
        <f t="shared" ref="H256:M256" si="91">+H263+H270</f>
        <v>0</v>
      </c>
      <c r="I256" s="1029">
        <f t="shared" si="91"/>
        <v>0</v>
      </c>
      <c r="J256" s="1029">
        <f t="shared" si="91"/>
        <v>0</v>
      </c>
      <c r="K256" s="1029">
        <f t="shared" si="91"/>
        <v>0</v>
      </c>
      <c r="L256" s="1029">
        <f t="shared" si="91"/>
        <v>0</v>
      </c>
      <c r="M256" s="1029">
        <f t="shared" si="91"/>
        <v>0</v>
      </c>
      <c r="N256" s="1044"/>
      <c r="O256" s="952"/>
      <c r="P256" s="6"/>
      <c r="Q256" s="6"/>
    </row>
    <row r="257" spans="1:17" x14ac:dyDescent="0.2">
      <c r="B257" s="952"/>
      <c r="C257" s="1043"/>
      <c r="D257" s="990" t="s">
        <v>118</v>
      </c>
      <c r="E257" s="990"/>
      <c r="F257" s="991"/>
      <c r="G257" s="991"/>
      <c r="H257" s="1029">
        <f t="shared" ref="H257:M257" si="92">+H264+H271</f>
        <v>0</v>
      </c>
      <c r="I257" s="1029">
        <f t="shared" si="92"/>
        <v>0</v>
      </c>
      <c r="J257" s="1029">
        <f t="shared" si="92"/>
        <v>0</v>
      </c>
      <c r="K257" s="1029">
        <f t="shared" si="92"/>
        <v>0</v>
      </c>
      <c r="L257" s="1029">
        <f t="shared" si="92"/>
        <v>0</v>
      </c>
      <c r="M257" s="1029">
        <f t="shared" si="92"/>
        <v>0</v>
      </c>
      <c r="N257" s="1044"/>
      <c r="O257" s="952"/>
      <c r="P257" s="6"/>
      <c r="Q257" s="6"/>
    </row>
    <row r="258" spans="1:17" x14ac:dyDescent="0.2">
      <c r="B258" s="952"/>
      <c r="C258" s="1043"/>
      <c r="D258" s="990" t="s">
        <v>216</v>
      </c>
      <c r="E258" s="990"/>
      <c r="F258" s="991"/>
      <c r="G258" s="991"/>
      <c r="H258" s="1029">
        <f t="shared" ref="H258:M258" si="93">+H265+H272</f>
        <v>0</v>
      </c>
      <c r="I258" s="1029">
        <f t="shared" si="93"/>
        <v>0</v>
      </c>
      <c r="J258" s="1029">
        <f t="shared" si="93"/>
        <v>0</v>
      </c>
      <c r="K258" s="1029">
        <f t="shared" si="93"/>
        <v>0</v>
      </c>
      <c r="L258" s="1029">
        <f t="shared" si="93"/>
        <v>0</v>
      </c>
      <c r="M258" s="1029">
        <f t="shared" si="93"/>
        <v>0</v>
      </c>
      <c r="N258" s="1044"/>
      <c r="O258" s="952"/>
      <c r="P258" s="6"/>
      <c r="Q258" s="6"/>
    </row>
    <row r="259" spans="1:17" x14ac:dyDescent="0.2">
      <c r="B259" s="952"/>
      <c r="C259" s="1043"/>
      <c r="D259" s="990"/>
      <c r="E259" s="990"/>
      <c r="F259" s="991"/>
      <c r="G259" s="991"/>
      <c r="H259" s="991"/>
      <c r="I259" s="991"/>
      <c r="J259" s="991"/>
      <c r="K259" s="991"/>
      <c r="L259" s="991"/>
      <c r="M259" s="991"/>
      <c r="N259" s="1044"/>
      <c r="O259" s="952"/>
      <c r="P259" s="6"/>
      <c r="Q259" s="6"/>
    </row>
    <row r="260" spans="1:17" x14ac:dyDescent="0.2">
      <c r="B260" s="952"/>
      <c r="C260" s="1043"/>
      <c r="D260" s="1028" t="s">
        <v>35</v>
      </c>
      <c r="E260" s="990"/>
      <c r="F260" s="991"/>
      <c r="G260" s="991"/>
      <c r="H260" s="991"/>
      <c r="I260" s="991"/>
      <c r="J260" s="991"/>
      <c r="K260" s="991"/>
      <c r="L260" s="991"/>
      <c r="M260" s="991"/>
      <c r="N260" s="1044"/>
      <c r="O260" s="952"/>
      <c r="P260" s="6"/>
      <c r="Q260" s="6"/>
    </row>
    <row r="261" spans="1:17" x14ac:dyDescent="0.2">
      <c r="B261" s="952"/>
      <c r="C261" s="1043"/>
      <c r="D261" s="990" t="s">
        <v>215</v>
      </c>
      <c r="E261" s="990"/>
      <c r="F261" s="991"/>
      <c r="G261" s="991"/>
      <c r="H261" s="1029">
        <f t="shared" ref="H261:M261" si="94">+H57+H58+H59</f>
        <v>0</v>
      </c>
      <c r="I261" s="1029">
        <f t="shared" si="94"/>
        <v>0</v>
      </c>
      <c r="J261" s="1029">
        <f t="shared" si="94"/>
        <v>0</v>
      </c>
      <c r="K261" s="1029">
        <f t="shared" si="94"/>
        <v>0</v>
      </c>
      <c r="L261" s="1029">
        <f t="shared" si="94"/>
        <v>0</v>
      </c>
      <c r="M261" s="1029">
        <f t="shared" si="94"/>
        <v>0</v>
      </c>
      <c r="N261" s="1044"/>
      <c r="O261" s="952"/>
      <c r="P261" s="6"/>
      <c r="Q261" s="6"/>
    </row>
    <row r="262" spans="1:17" x14ac:dyDescent="0.2">
      <c r="B262" s="952"/>
      <c r="C262" s="1043"/>
      <c r="D262" s="990" t="s">
        <v>195</v>
      </c>
      <c r="E262" s="990"/>
      <c r="F262" s="991"/>
      <c r="G262" s="991"/>
      <c r="H262" s="1029">
        <f t="shared" ref="H262:L262" si="95">5/12*H87+7/12*I87</f>
        <v>0</v>
      </c>
      <c r="I262" s="1029">
        <f t="shared" si="95"/>
        <v>0</v>
      </c>
      <c r="J262" s="1029">
        <f t="shared" si="95"/>
        <v>0</v>
      </c>
      <c r="K262" s="1029">
        <f t="shared" si="95"/>
        <v>0</v>
      </c>
      <c r="L262" s="1029">
        <f t="shared" si="95"/>
        <v>0</v>
      </c>
      <c r="M262" s="1029">
        <f>M87</f>
        <v>0</v>
      </c>
      <c r="N262" s="1044"/>
      <c r="O262" s="952"/>
      <c r="P262" s="6"/>
      <c r="Q262" s="6"/>
    </row>
    <row r="263" spans="1:17" x14ac:dyDescent="0.2">
      <c r="B263" s="952"/>
      <c r="C263" s="1043"/>
      <c r="D263" s="990" t="s">
        <v>209</v>
      </c>
      <c r="E263" s="990"/>
      <c r="F263" s="991"/>
      <c r="G263" s="991"/>
      <c r="H263" s="1029">
        <f t="shared" ref="H263:L263" si="96">5/12*H107+7/12*I107</f>
        <v>0</v>
      </c>
      <c r="I263" s="1029">
        <f t="shared" si="96"/>
        <v>0</v>
      </c>
      <c r="J263" s="1029">
        <f t="shared" si="96"/>
        <v>0</v>
      </c>
      <c r="K263" s="1029">
        <f t="shared" si="96"/>
        <v>0</v>
      </c>
      <c r="L263" s="1029">
        <f t="shared" si="96"/>
        <v>0</v>
      </c>
      <c r="M263" s="1029">
        <f>M107</f>
        <v>0</v>
      </c>
      <c r="N263" s="1044"/>
      <c r="O263" s="952"/>
      <c r="P263" s="6"/>
      <c r="Q263" s="6"/>
    </row>
    <row r="264" spans="1:17" x14ac:dyDescent="0.2">
      <c r="B264" s="952"/>
      <c r="C264" s="1043"/>
      <c r="D264" s="990" t="s">
        <v>118</v>
      </c>
      <c r="E264" s="990"/>
      <c r="F264" s="991"/>
      <c r="G264" s="991"/>
      <c r="H264" s="1029">
        <f t="shared" ref="H264:L264" si="97">+H112*5/12+I112*7/12-H263</f>
        <v>0</v>
      </c>
      <c r="I264" s="1029">
        <f t="shared" si="97"/>
        <v>0</v>
      </c>
      <c r="J264" s="1029">
        <f t="shared" si="97"/>
        <v>0</v>
      </c>
      <c r="K264" s="1029">
        <f t="shared" si="97"/>
        <v>0</v>
      </c>
      <c r="L264" s="1029">
        <f t="shared" si="97"/>
        <v>0</v>
      </c>
      <c r="M264" s="1029">
        <f>+M112-M263</f>
        <v>0</v>
      </c>
      <c r="N264" s="1044"/>
      <c r="O264" s="952"/>
      <c r="P264" s="6"/>
      <c r="Q264" s="6"/>
    </row>
    <row r="265" spans="1:17" x14ac:dyDescent="0.2">
      <c r="B265" s="952"/>
      <c r="C265" s="1043"/>
      <c r="D265" s="990" t="s">
        <v>216</v>
      </c>
      <c r="E265" s="990"/>
      <c r="F265" s="991"/>
      <c r="G265" s="991"/>
      <c r="H265" s="1029">
        <f>5/12*H161+7/12*I161</f>
        <v>0</v>
      </c>
      <c r="I265" s="1029">
        <f t="shared" ref="I265:K265" si="98">5/12*I161+7/12*J161</f>
        <v>0</v>
      </c>
      <c r="J265" s="1029">
        <f t="shared" si="98"/>
        <v>0</v>
      </c>
      <c r="K265" s="1029">
        <f t="shared" si="98"/>
        <v>0</v>
      </c>
      <c r="L265" s="1029">
        <f>5/12*L161+7/12*M161</f>
        <v>0</v>
      </c>
      <c r="M265" s="1029">
        <f>M161</f>
        <v>0</v>
      </c>
      <c r="N265" s="1044"/>
      <c r="O265" s="952"/>
      <c r="P265" s="6"/>
      <c r="Q265" s="6"/>
    </row>
    <row r="266" spans="1:17" x14ac:dyDescent="0.2">
      <c r="B266" s="952"/>
      <c r="C266" s="1043"/>
      <c r="D266" s="990"/>
      <c r="E266" s="990"/>
      <c r="F266" s="991"/>
      <c r="G266" s="991"/>
      <c r="H266" s="991"/>
      <c r="I266" s="991"/>
      <c r="J266" s="991"/>
      <c r="K266" s="991"/>
      <c r="L266" s="991"/>
      <c r="M266" s="991"/>
      <c r="N266" s="1044"/>
      <c r="O266" s="952"/>
      <c r="P266" s="6"/>
      <c r="Q266" s="6"/>
    </row>
    <row r="267" spans="1:17" x14ac:dyDescent="0.2">
      <c r="B267" s="952"/>
      <c r="C267" s="1043"/>
      <c r="D267" s="1028" t="s">
        <v>36</v>
      </c>
      <c r="E267" s="990"/>
      <c r="F267" s="991"/>
      <c r="G267" s="991"/>
      <c r="H267" s="991"/>
      <c r="I267" s="991"/>
      <c r="J267" s="991"/>
      <c r="K267" s="991"/>
      <c r="L267" s="991"/>
      <c r="M267" s="991"/>
      <c r="N267" s="1044"/>
      <c r="O267" s="952"/>
      <c r="P267" s="6"/>
      <c r="Q267" s="6"/>
    </row>
    <row r="268" spans="1:17" x14ac:dyDescent="0.2">
      <c r="B268" s="952"/>
      <c r="C268" s="1043"/>
      <c r="D268" s="990" t="s">
        <v>215</v>
      </c>
      <c r="E268" s="990"/>
      <c r="F268" s="991"/>
      <c r="G268" s="991"/>
      <c r="H268" s="1029">
        <f t="shared" ref="H268:M268" si="99">+H63+H64+H65+H67+H69</f>
        <v>0</v>
      </c>
      <c r="I268" s="1029">
        <f t="shared" si="99"/>
        <v>0</v>
      </c>
      <c r="J268" s="1029">
        <f t="shared" si="99"/>
        <v>0</v>
      </c>
      <c r="K268" s="1029">
        <f t="shared" si="99"/>
        <v>0</v>
      </c>
      <c r="L268" s="1029">
        <f t="shared" si="99"/>
        <v>0</v>
      </c>
      <c r="M268" s="1029">
        <f t="shared" si="99"/>
        <v>0</v>
      </c>
      <c r="N268" s="1044"/>
      <c r="O268" s="952"/>
      <c r="P268" s="6"/>
      <c r="Q268" s="6"/>
    </row>
    <row r="269" spans="1:17" x14ac:dyDescent="0.2">
      <c r="B269" s="952"/>
      <c r="C269" s="1043"/>
      <c r="D269" s="990" t="s">
        <v>195</v>
      </c>
      <c r="E269" s="990"/>
      <c r="F269" s="991"/>
      <c r="G269" s="991"/>
      <c r="H269" s="1030">
        <f t="shared" ref="H269:L269" si="100">5/12*H96+7/12*I96</f>
        <v>0</v>
      </c>
      <c r="I269" s="1030">
        <f t="shared" si="100"/>
        <v>0</v>
      </c>
      <c r="J269" s="1030">
        <f t="shared" si="100"/>
        <v>0</v>
      </c>
      <c r="K269" s="1030">
        <f t="shared" si="100"/>
        <v>0</v>
      </c>
      <c r="L269" s="1030">
        <f t="shared" si="100"/>
        <v>0</v>
      </c>
      <c r="M269" s="1030">
        <f>M96</f>
        <v>0</v>
      </c>
      <c r="N269" s="1044"/>
      <c r="O269" s="952"/>
      <c r="P269" s="6"/>
      <c r="Q269" s="6"/>
    </row>
    <row r="270" spans="1:17" x14ac:dyDescent="0.2">
      <c r="B270" s="952"/>
      <c r="C270" s="1043"/>
      <c r="D270" s="990" t="s">
        <v>209</v>
      </c>
      <c r="E270" s="990"/>
      <c r="F270" s="991"/>
      <c r="G270" s="991"/>
      <c r="H270" s="1030">
        <f t="shared" ref="H270:L270" si="101">5/12*H116+7/12*I116</f>
        <v>0</v>
      </c>
      <c r="I270" s="1030">
        <f t="shared" si="101"/>
        <v>0</v>
      </c>
      <c r="J270" s="1030">
        <f t="shared" si="101"/>
        <v>0</v>
      </c>
      <c r="K270" s="1030">
        <f t="shared" si="101"/>
        <v>0</v>
      </c>
      <c r="L270" s="1030">
        <f t="shared" si="101"/>
        <v>0</v>
      </c>
      <c r="M270" s="1030">
        <f>M116</f>
        <v>0</v>
      </c>
      <c r="N270" s="1044"/>
      <c r="O270" s="952"/>
      <c r="P270" s="6"/>
      <c r="Q270" s="6"/>
    </row>
    <row r="271" spans="1:17" x14ac:dyDescent="0.2">
      <c r="A271" s="1021"/>
      <c r="B271" s="952"/>
      <c r="C271" s="1043"/>
      <c r="D271" s="990" t="s">
        <v>118</v>
      </c>
      <c r="E271" s="990"/>
      <c r="F271" s="991"/>
      <c r="G271" s="991"/>
      <c r="H271" s="1030">
        <f t="shared" ref="H271:L271" si="102">5/12*H121+7/12*I121-H270</f>
        <v>0</v>
      </c>
      <c r="I271" s="1030">
        <f t="shared" si="102"/>
        <v>0</v>
      </c>
      <c r="J271" s="1030">
        <f t="shared" si="102"/>
        <v>0</v>
      </c>
      <c r="K271" s="1030">
        <f t="shared" si="102"/>
        <v>0</v>
      </c>
      <c r="L271" s="1030">
        <f t="shared" si="102"/>
        <v>0</v>
      </c>
      <c r="M271" s="1030">
        <f>M121-M270</f>
        <v>0</v>
      </c>
      <c r="N271" s="1044"/>
      <c r="O271" s="952"/>
      <c r="P271" s="6"/>
      <c r="Q271" s="6"/>
    </row>
    <row r="272" spans="1:17" s="1021" customFormat="1" x14ac:dyDescent="0.2">
      <c r="B272" s="952"/>
      <c r="C272" s="1043"/>
      <c r="D272" s="967" t="s">
        <v>216</v>
      </c>
      <c r="E272" s="990"/>
      <c r="F272" s="991"/>
      <c r="G272" s="991"/>
      <c r="H272" s="1030">
        <f>5/12*H191+7/12*I191</f>
        <v>0</v>
      </c>
      <c r="I272" s="1030">
        <f t="shared" ref="I272:L272" si="103">5/12*I191+7/12*J191</f>
        <v>0</v>
      </c>
      <c r="J272" s="1030">
        <f t="shared" si="103"/>
        <v>0</v>
      </c>
      <c r="K272" s="1030">
        <f t="shared" si="103"/>
        <v>0</v>
      </c>
      <c r="L272" s="1030">
        <f t="shared" si="103"/>
        <v>0</v>
      </c>
      <c r="M272" s="1030">
        <f>M191</f>
        <v>0</v>
      </c>
      <c r="N272" s="1044"/>
      <c r="O272" s="952"/>
      <c r="P272" s="952"/>
      <c r="Q272" s="952"/>
    </row>
    <row r="273" spans="2:18" x14ac:dyDescent="0.2">
      <c r="B273" s="952"/>
      <c r="C273" s="1043"/>
      <c r="D273" s="964"/>
      <c r="E273" s="964"/>
      <c r="F273" s="965"/>
      <c r="G273" s="965"/>
      <c r="H273" s="1577"/>
      <c r="I273" s="965"/>
      <c r="J273" s="965"/>
      <c r="K273" s="965"/>
      <c r="L273" s="965"/>
      <c r="M273" s="965"/>
      <c r="N273" s="1044"/>
      <c r="O273" s="952"/>
      <c r="P273" s="6"/>
      <c r="Q273" s="6"/>
    </row>
    <row r="274" spans="2:18" x14ac:dyDescent="0.2">
      <c r="B274" s="952"/>
      <c r="C274" s="1043"/>
      <c r="D274" s="1031" t="s">
        <v>603</v>
      </c>
      <c r="E274" s="968"/>
      <c r="F274" s="969"/>
      <c r="G274" s="969"/>
      <c r="H274" s="1036">
        <f>'sal SWV'!$U67</f>
        <v>0</v>
      </c>
      <c r="I274" s="1036">
        <f>'sal SWV'!$U99</f>
        <v>0</v>
      </c>
      <c r="J274" s="1036">
        <f>'sal SWV'!$U131</f>
        <v>0</v>
      </c>
      <c r="K274" s="1036">
        <f>'sal SWV'!$U163</f>
        <v>0</v>
      </c>
      <c r="L274" s="1036">
        <f>'sal SWV'!$U195</f>
        <v>0</v>
      </c>
      <c r="M274" s="1036">
        <f>'sal SWV'!$U227</f>
        <v>0</v>
      </c>
      <c r="N274" s="1044"/>
      <c r="O274" s="952"/>
      <c r="P274" s="6"/>
      <c r="Q274" s="6"/>
      <c r="R274" s="6"/>
    </row>
    <row r="275" spans="2:18" x14ac:dyDescent="0.2">
      <c r="B275" s="952"/>
      <c r="C275" s="1043"/>
      <c r="D275" s="1031" t="s">
        <v>493</v>
      </c>
      <c r="E275" s="968"/>
      <c r="F275" s="969"/>
      <c r="G275" s="969"/>
      <c r="H275" s="1032">
        <f>5/12*H128+7/12*I128</f>
        <v>0</v>
      </c>
      <c r="I275" s="1032">
        <f t="shared" ref="I275:L275" si="104">5/12*I128+7/12*J128</f>
        <v>0</v>
      </c>
      <c r="J275" s="1032">
        <f t="shared" si="104"/>
        <v>0</v>
      </c>
      <c r="K275" s="1032">
        <f t="shared" si="104"/>
        <v>0</v>
      </c>
      <c r="L275" s="1032">
        <f t="shared" si="104"/>
        <v>0</v>
      </c>
      <c r="M275" s="1032">
        <f>M128</f>
        <v>0</v>
      </c>
      <c r="N275" s="1044"/>
      <c r="O275" s="952"/>
      <c r="P275" s="6"/>
      <c r="Q275" s="6"/>
      <c r="R275" s="6"/>
    </row>
    <row r="276" spans="2:18" x14ac:dyDescent="0.2">
      <c r="B276" s="952"/>
      <c r="C276" s="1043"/>
      <c r="D276" s="1031" t="s">
        <v>652</v>
      </c>
      <c r="E276" s="968"/>
      <c r="F276" s="969"/>
      <c r="G276" s="969"/>
      <c r="H276" s="1032">
        <f t="shared" ref="H276:K276" si="105">5/12*H208+7/12*I208</f>
        <v>0</v>
      </c>
      <c r="I276" s="1032">
        <f t="shared" si="105"/>
        <v>0</v>
      </c>
      <c r="J276" s="1032">
        <f t="shared" si="105"/>
        <v>0</v>
      </c>
      <c r="K276" s="1032">
        <f t="shared" si="105"/>
        <v>0</v>
      </c>
      <c r="L276" s="1032">
        <f>5/12*L208+7/12*M208</f>
        <v>0</v>
      </c>
      <c r="M276" s="1032">
        <f>M208</f>
        <v>0</v>
      </c>
      <c r="N276" s="1044"/>
      <c r="O276" s="952"/>
      <c r="P276" s="6"/>
      <c r="Q276" s="6"/>
      <c r="R276" s="6"/>
    </row>
    <row r="277" spans="2:18" x14ac:dyDescent="0.2">
      <c r="B277" s="952"/>
      <c r="C277" s="1043"/>
      <c r="D277" s="1037" t="s">
        <v>649</v>
      </c>
      <c r="E277" s="964"/>
      <c r="F277" s="965"/>
      <c r="G277" s="965"/>
      <c r="H277" s="1038">
        <f>+project!I96</f>
        <v>0</v>
      </c>
      <c r="I277" s="1038">
        <f>+project!J96</f>
        <v>0</v>
      </c>
      <c r="J277" s="1038">
        <f>+project!K96</f>
        <v>0</v>
      </c>
      <c r="K277" s="1038">
        <f>+project!L96</f>
        <v>0</v>
      </c>
      <c r="L277" s="1038">
        <f>+project!M96</f>
        <v>0</v>
      </c>
      <c r="M277" s="1038">
        <f>+project!N96</f>
        <v>0</v>
      </c>
      <c r="N277" s="1044"/>
      <c r="O277" s="952"/>
      <c r="P277" s="6"/>
      <c r="Q277" s="6"/>
      <c r="R277" s="6"/>
    </row>
    <row r="278" spans="2:18" x14ac:dyDescent="0.2">
      <c r="B278" s="952"/>
      <c r="C278" s="1043"/>
      <c r="D278" s="964"/>
      <c r="E278" s="964"/>
      <c r="F278" s="965"/>
      <c r="G278" s="965"/>
      <c r="H278" s="965"/>
      <c r="I278" s="965"/>
      <c r="J278" s="965"/>
      <c r="K278" s="965"/>
      <c r="L278" s="965"/>
      <c r="M278" s="965"/>
      <c r="N278" s="1044"/>
      <c r="O278" s="952"/>
      <c r="P278" s="6"/>
      <c r="Q278" s="6"/>
      <c r="R278" s="6"/>
    </row>
    <row r="279" spans="2:18" x14ac:dyDescent="0.2">
      <c r="B279" s="952"/>
      <c r="C279" s="1043"/>
      <c r="D279" s="1034" t="s">
        <v>653</v>
      </c>
      <c r="E279" s="964"/>
      <c r="F279" s="965"/>
      <c r="G279" s="965"/>
      <c r="H279" s="1035">
        <f t="shared" ref="H279:M279" si="106">+H275-H276</f>
        <v>0</v>
      </c>
      <c r="I279" s="1035">
        <f t="shared" si="106"/>
        <v>0</v>
      </c>
      <c r="J279" s="1035">
        <f t="shared" si="106"/>
        <v>0</v>
      </c>
      <c r="K279" s="1035">
        <f t="shared" si="106"/>
        <v>0</v>
      </c>
      <c r="L279" s="1035">
        <f t="shared" si="106"/>
        <v>0</v>
      </c>
      <c r="M279" s="1035">
        <f t="shared" si="106"/>
        <v>0</v>
      </c>
      <c r="N279" s="1044"/>
      <c r="O279" s="952"/>
      <c r="P279" s="6"/>
      <c r="Q279" s="6"/>
      <c r="R279" s="6"/>
    </row>
    <row r="280" spans="2:18" ht="13.5" thickBot="1" x14ac:dyDescent="0.25">
      <c r="B280" s="952"/>
      <c r="C280" s="1047"/>
      <c r="D280" s="1048"/>
      <c r="E280" s="1048"/>
      <c r="F280" s="1049"/>
      <c r="G280" s="1049"/>
      <c r="H280" s="1049"/>
      <c r="I280" s="1049"/>
      <c r="J280" s="1049"/>
      <c r="K280" s="1049"/>
      <c r="L280" s="1049"/>
      <c r="M280" s="1049"/>
      <c r="N280" s="1050"/>
      <c r="O280" s="952"/>
      <c r="P280" s="6"/>
      <c r="Q280" s="6"/>
      <c r="R280" s="6"/>
    </row>
    <row r="281" spans="2:18" ht="13.5" thickTop="1" x14ac:dyDescent="0.2">
      <c r="B281" s="952"/>
      <c r="C281" s="952"/>
      <c r="D281" s="952"/>
      <c r="E281" s="952"/>
      <c r="F281" s="1023"/>
      <c r="G281" s="1023"/>
      <c r="H281" s="1023"/>
      <c r="I281" s="1023"/>
      <c r="J281" s="1023"/>
      <c r="K281" s="1023"/>
      <c r="L281" s="1023"/>
      <c r="M281" s="1023"/>
      <c r="N281" s="952"/>
      <c r="O281" s="952"/>
      <c r="P281" s="6"/>
      <c r="Q281" s="6"/>
      <c r="R281" s="6"/>
    </row>
    <row r="282" spans="2:18" x14ac:dyDescent="0.2">
      <c r="B282" s="6"/>
      <c r="C282" s="6"/>
      <c r="D282" s="6"/>
      <c r="E282" s="6"/>
      <c r="F282" s="166"/>
      <c r="G282" s="166"/>
      <c r="H282" s="166"/>
      <c r="I282" s="166"/>
      <c r="J282" s="166"/>
      <c r="K282" s="166"/>
      <c r="L282" s="166"/>
      <c r="M282" s="166"/>
      <c r="N282" s="6"/>
      <c r="O282" s="6"/>
      <c r="P282" s="6"/>
      <c r="Q282" s="6"/>
      <c r="R282" s="6"/>
    </row>
    <row r="283" spans="2:18" x14ac:dyDescent="0.2">
      <c r="B283" s="6"/>
      <c r="C283" s="6"/>
      <c r="D283" s="6"/>
      <c r="E283" s="6"/>
      <c r="F283" s="166"/>
      <c r="G283" s="166"/>
      <c r="H283" s="166"/>
      <c r="I283" s="166"/>
      <c r="J283" s="166"/>
      <c r="K283" s="166"/>
      <c r="L283" s="166"/>
      <c r="M283" s="166"/>
      <c r="N283" s="6"/>
      <c r="O283" s="6"/>
      <c r="P283" s="6"/>
      <c r="Q283" s="6"/>
      <c r="R283" s="6"/>
    </row>
    <row r="284" spans="2:18" x14ac:dyDescent="0.2">
      <c r="B284" s="6"/>
      <c r="C284" s="6"/>
      <c r="D284" s="6"/>
      <c r="E284" s="6"/>
      <c r="F284" s="166"/>
      <c r="G284" s="166"/>
      <c r="H284" s="166"/>
      <c r="I284" s="166"/>
      <c r="J284" s="166"/>
      <c r="K284" s="166"/>
      <c r="L284" s="166"/>
      <c r="M284" s="166"/>
      <c r="N284" s="6"/>
      <c r="O284" s="6"/>
      <c r="P284" s="6"/>
      <c r="Q284" s="6"/>
      <c r="R284" s="6"/>
    </row>
    <row r="285" spans="2:18" x14ac:dyDescent="0.2">
      <c r="B285" s="6"/>
      <c r="C285" s="6"/>
      <c r="D285" s="6"/>
      <c r="E285" s="6"/>
      <c r="F285" s="166"/>
      <c r="G285" s="166"/>
      <c r="H285" s="166"/>
      <c r="I285" s="166"/>
      <c r="J285" s="166"/>
      <c r="K285" s="166"/>
      <c r="L285" s="166"/>
      <c r="M285" s="166"/>
      <c r="N285" s="6"/>
      <c r="O285" s="6"/>
      <c r="P285" s="6"/>
      <c r="Q285" s="6"/>
      <c r="R285" s="6"/>
    </row>
    <row r="286" spans="2:18" x14ac:dyDescent="0.2">
      <c r="B286" s="6"/>
      <c r="C286" s="6"/>
      <c r="D286" s="6"/>
      <c r="E286" s="6"/>
      <c r="F286" s="166"/>
      <c r="G286" s="166"/>
      <c r="H286" s="166"/>
      <c r="I286" s="166"/>
      <c r="J286" s="166"/>
      <c r="K286" s="166"/>
      <c r="L286" s="166"/>
      <c r="M286" s="166"/>
      <c r="N286" s="6"/>
      <c r="O286" s="6"/>
      <c r="P286" s="6"/>
      <c r="Q286" s="6"/>
      <c r="R286" s="6"/>
    </row>
    <row r="287" spans="2:18" x14ac:dyDescent="0.2">
      <c r="B287" s="6"/>
      <c r="C287" s="6"/>
      <c r="D287" s="6"/>
      <c r="E287" s="6"/>
      <c r="F287" s="166"/>
      <c r="G287" s="166"/>
      <c r="H287" s="166"/>
      <c r="I287" s="166"/>
      <c r="J287" s="166"/>
      <c r="K287" s="166"/>
      <c r="L287" s="166"/>
      <c r="M287" s="166"/>
      <c r="N287" s="6"/>
      <c r="O287" s="6"/>
      <c r="P287" s="6"/>
      <c r="Q287" s="6"/>
      <c r="R287" s="6"/>
    </row>
    <row r="288" spans="2:18" x14ac:dyDescent="0.2">
      <c r="B288" s="6"/>
      <c r="C288" s="6"/>
      <c r="D288" s="6"/>
      <c r="E288" s="6"/>
      <c r="F288" s="166"/>
      <c r="G288" s="166"/>
      <c r="H288" s="166"/>
      <c r="I288" s="166"/>
      <c r="J288" s="166"/>
      <c r="K288" s="166"/>
      <c r="L288" s="166"/>
      <c r="M288" s="166"/>
      <c r="N288" s="6"/>
      <c r="O288" s="6"/>
      <c r="P288" s="6"/>
      <c r="Q288" s="6"/>
    </row>
    <row r="289" spans="2:17" x14ac:dyDescent="0.2">
      <c r="B289" s="6"/>
      <c r="C289" s="6"/>
      <c r="D289" s="6"/>
      <c r="E289" s="6"/>
      <c r="F289" s="166"/>
      <c r="G289" s="166"/>
      <c r="H289" s="166"/>
      <c r="I289" s="166"/>
      <c r="J289" s="166"/>
      <c r="K289" s="166"/>
      <c r="L289" s="166"/>
      <c r="M289" s="166"/>
      <c r="N289" s="6"/>
      <c r="O289" s="6"/>
      <c r="P289" s="6"/>
      <c r="Q289" s="6"/>
    </row>
    <row r="290" spans="2:17" x14ac:dyDescent="0.2">
      <c r="B290" s="6"/>
      <c r="C290" s="6"/>
      <c r="D290" s="6"/>
      <c r="E290" s="6"/>
      <c r="F290" s="166"/>
      <c r="G290" s="166"/>
      <c r="H290" s="166"/>
      <c r="I290" s="166"/>
      <c r="J290" s="166"/>
      <c r="K290" s="166"/>
      <c r="L290" s="166"/>
      <c r="M290" s="166"/>
      <c r="N290" s="6"/>
      <c r="O290" s="6"/>
      <c r="P290" s="6"/>
      <c r="Q290" s="6"/>
    </row>
    <row r="291" spans="2:17" x14ac:dyDescent="0.2">
      <c r="B291" s="6"/>
      <c r="C291" s="6"/>
      <c r="D291" s="6"/>
      <c r="E291" s="6"/>
      <c r="F291" s="166"/>
      <c r="G291" s="166"/>
      <c r="H291" s="166"/>
      <c r="I291" s="166"/>
      <c r="J291" s="166"/>
      <c r="K291" s="166"/>
      <c r="L291" s="166"/>
      <c r="M291" s="166"/>
      <c r="N291" s="6"/>
      <c r="O291" s="6"/>
      <c r="P291" s="6"/>
      <c r="Q291" s="6"/>
    </row>
    <row r="292" spans="2:17" x14ac:dyDescent="0.2">
      <c r="B292" s="6"/>
      <c r="C292" s="6"/>
      <c r="D292" s="6"/>
      <c r="E292" s="6"/>
      <c r="F292" s="166"/>
      <c r="G292" s="166"/>
      <c r="H292" s="166"/>
      <c r="I292" s="166"/>
      <c r="J292" s="166"/>
      <c r="K292" s="166"/>
      <c r="L292" s="166"/>
      <c r="M292" s="166"/>
      <c r="N292" s="6"/>
      <c r="O292" s="6"/>
      <c r="P292" s="6"/>
      <c r="Q292" s="6"/>
    </row>
    <row r="293" spans="2:17" x14ac:dyDescent="0.2">
      <c r="B293" s="6"/>
      <c r="C293" s="6"/>
      <c r="D293" s="6"/>
      <c r="E293" s="6"/>
      <c r="F293" s="166"/>
      <c r="G293" s="166"/>
      <c r="H293" s="166"/>
      <c r="I293" s="166"/>
      <c r="J293" s="166"/>
      <c r="K293" s="166"/>
      <c r="L293" s="166"/>
      <c r="M293" s="166"/>
      <c r="N293" s="6"/>
      <c r="O293" s="6"/>
      <c r="P293" s="6"/>
      <c r="Q293" s="6"/>
    </row>
    <row r="294" spans="2:17" x14ac:dyDescent="0.2">
      <c r="B294" s="6"/>
      <c r="C294" s="6"/>
      <c r="D294" s="6"/>
      <c r="E294" s="6"/>
      <c r="F294" s="166"/>
      <c r="G294" s="166"/>
      <c r="H294" s="166"/>
      <c r="I294" s="166"/>
      <c r="J294" s="166"/>
      <c r="K294" s="166"/>
      <c r="L294" s="166"/>
      <c r="M294" s="166"/>
      <c r="N294" s="6"/>
      <c r="O294" s="6"/>
      <c r="P294" s="6"/>
      <c r="Q294" s="6"/>
    </row>
    <row r="295" spans="2:17" x14ac:dyDescent="0.2">
      <c r="B295" s="6"/>
      <c r="C295" s="6"/>
      <c r="D295" s="6"/>
      <c r="E295" s="6"/>
      <c r="F295" s="166"/>
      <c r="G295" s="166"/>
      <c r="H295" s="166"/>
      <c r="I295" s="166"/>
      <c r="J295" s="166"/>
      <c r="K295" s="166"/>
      <c r="L295" s="166"/>
      <c r="M295" s="166"/>
      <c r="N295" s="6"/>
      <c r="O295" s="6"/>
      <c r="P295" s="6"/>
      <c r="Q295" s="6"/>
    </row>
    <row r="296" spans="2:17" x14ac:dyDescent="0.2">
      <c r="B296" s="6"/>
      <c r="C296" s="6"/>
      <c r="D296" s="6"/>
      <c r="E296" s="6"/>
      <c r="F296" s="166"/>
      <c r="G296" s="166"/>
      <c r="H296" s="166"/>
      <c r="I296" s="166"/>
      <c r="J296" s="166"/>
      <c r="K296" s="166"/>
      <c r="L296" s="166"/>
      <c r="M296" s="166"/>
      <c r="N296" s="6"/>
      <c r="O296" s="6"/>
      <c r="P296" s="6"/>
      <c r="Q296" s="6"/>
    </row>
    <row r="297" spans="2:17" x14ac:dyDescent="0.2">
      <c r="B297" s="6"/>
      <c r="C297" s="6"/>
      <c r="D297" s="6"/>
      <c r="E297" s="6"/>
      <c r="F297" s="166"/>
      <c r="G297" s="166"/>
      <c r="H297" s="166"/>
      <c r="I297" s="166"/>
      <c r="J297" s="166"/>
      <c r="K297" s="166"/>
      <c r="L297" s="166"/>
      <c r="M297" s="166"/>
      <c r="N297" s="6"/>
      <c r="O297" s="6"/>
      <c r="P297" s="6"/>
      <c r="Q297" s="6"/>
    </row>
    <row r="298" spans="2:17" x14ac:dyDescent="0.2">
      <c r="B298" s="6"/>
      <c r="C298" s="6"/>
      <c r="D298" s="6"/>
      <c r="E298" s="6"/>
      <c r="F298" s="166"/>
      <c r="G298" s="166"/>
      <c r="H298" s="166"/>
      <c r="I298" s="166"/>
      <c r="J298" s="166"/>
      <c r="K298" s="166"/>
      <c r="L298" s="166"/>
      <c r="M298" s="166"/>
      <c r="N298" s="6"/>
      <c r="O298" s="6"/>
      <c r="P298" s="6"/>
      <c r="Q298" s="6"/>
    </row>
    <row r="299" spans="2:17" x14ac:dyDescent="0.2">
      <c r="B299" s="6"/>
      <c r="C299" s="6"/>
      <c r="D299" s="6"/>
      <c r="E299" s="6"/>
      <c r="F299" s="166"/>
      <c r="G299" s="166"/>
      <c r="H299" s="166"/>
      <c r="I299" s="166"/>
      <c r="J299" s="166"/>
      <c r="K299" s="166"/>
      <c r="L299" s="166"/>
      <c r="M299" s="166"/>
      <c r="N299" s="6"/>
      <c r="O299" s="6"/>
      <c r="P299" s="6"/>
      <c r="Q299" s="6"/>
    </row>
    <row r="300" spans="2:17" x14ac:dyDescent="0.2">
      <c r="B300" s="6"/>
      <c r="C300" s="6"/>
      <c r="D300" s="6"/>
      <c r="E300" s="6"/>
      <c r="F300" s="166"/>
      <c r="G300" s="166"/>
      <c r="H300" s="166"/>
      <c r="I300" s="166"/>
      <c r="J300" s="166"/>
      <c r="K300" s="166"/>
      <c r="L300" s="166"/>
      <c r="M300" s="166"/>
      <c r="N300" s="6"/>
      <c r="O300" s="6"/>
      <c r="P300" s="6"/>
      <c r="Q300" s="6"/>
    </row>
    <row r="301" spans="2:17" x14ac:dyDescent="0.2">
      <c r="B301" s="6"/>
      <c r="C301" s="6"/>
      <c r="D301" s="6"/>
      <c r="E301" s="6"/>
      <c r="F301" s="166"/>
      <c r="G301" s="166"/>
      <c r="H301" s="166"/>
      <c r="I301" s="166"/>
      <c r="J301" s="166"/>
      <c r="K301" s="166"/>
      <c r="L301" s="166"/>
      <c r="M301" s="166"/>
      <c r="N301" s="6"/>
      <c r="O301" s="6"/>
      <c r="P301" s="6"/>
      <c r="Q301" s="6"/>
    </row>
    <row r="302" spans="2:17" x14ac:dyDescent="0.2">
      <c r="B302" s="6"/>
      <c r="C302" s="6"/>
      <c r="D302" s="6"/>
      <c r="E302" s="6"/>
      <c r="F302" s="166"/>
      <c r="G302" s="166"/>
      <c r="H302" s="166"/>
      <c r="I302" s="166"/>
      <c r="J302" s="166"/>
      <c r="K302" s="166"/>
      <c r="L302" s="166"/>
      <c r="M302" s="166"/>
      <c r="N302" s="6"/>
      <c r="O302" s="6"/>
      <c r="P302" s="6"/>
      <c r="Q302" s="6"/>
    </row>
    <row r="303" spans="2:17" x14ac:dyDescent="0.2">
      <c r="B303" s="6"/>
      <c r="C303" s="6"/>
      <c r="D303" s="6"/>
      <c r="E303" s="6"/>
      <c r="F303" s="166"/>
      <c r="G303" s="166"/>
      <c r="H303" s="166"/>
      <c r="I303" s="166"/>
      <c r="J303" s="166"/>
      <c r="K303" s="166"/>
      <c r="L303" s="166"/>
      <c r="M303" s="166"/>
      <c r="N303" s="6"/>
      <c r="O303" s="6"/>
      <c r="P303" s="6"/>
      <c r="Q303" s="6"/>
    </row>
    <row r="304" spans="2:17" x14ac:dyDescent="0.2">
      <c r="B304" s="6"/>
      <c r="C304" s="6"/>
      <c r="D304" s="6"/>
      <c r="E304" s="6"/>
      <c r="F304" s="166"/>
      <c r="G304" s="166"/>
      <c r="H304" s="166"/>
      <c r="I304" s="166"/>
      <c r="J304" s="166"/>
      <c r="K304" s="166"/>
      <c r="L304" s="166"/>
      <c r="M304" s="166"/>
      <c r="N304" s="6"/>
      <c r="O304" s="6"/>
      <c r="P304" s="6"/>
      <c r="Q304" s="6"/>
    </row>
    <row r="305" spans="2:17" x14ac:dyDescent="0.2">
      <c r="B305" s="6"/>
      <c r="C305" s="6"/>
      <c r="D305" s="6"/>
      <c r="E305" s="6"/>
      <c r="F305" s="166"/>
      <c r="G305" s="166"/>
      <c r="H305" s="166"/>
      <c r="I305" s="166"/>
      <c r="J305" s="166"/>
      <c r="K305" s="166"/>
      <c r="L305" s="166"/>
      <c r="M305" s="166"/>
      <c r="N305" s="6"/>
      <c r="O305" s="6"/>
      <c r="P305" s="6"/>
      <c r="Q305" s="6"/>
    </row>
    <row r="306" spans="2:17" x14ac:dyDescent="0.2">
      <c r="B306" s="6"/>
      <c r="C306" s="6"/>
      <c r="D306" s="6"/>
      <c r="E306" s="6"/>
      <c r="F306" s="166"/>
      <c r="G306" s="166"/>
      <c r="H306" s="166"/>
      <c r="I306" s="166"/>
      <c r="J306" s="166"/>
      <c r="K306" s="166"/>
      <c r="L306" s="166"/>
      <c r="M306" s="166"/>
      <c r="N306" s="6"/>
      <c r="O306" s="6"/>
      <c r="P306" s="6"/>
      <c r="Q306" s="6"/>
    </row>
    <row r="307" spans="2:17" x14ac:dyDescent="0.2">
      <c r="B307" s="6"/>
      <c r="C307" s="6"/>
      <c r="D307" s="6"/>
      <c r="E307" s="6"/>
      <c r="F307" s="166"/>
      <c r="G307" s="166"/>
      <c r="H307" s="166"/>
      <c r="I307" s="166"/>
      <c r="J307" s="166"/>
      <c r="K307" s="166"/>
      <c r="L307" s="166"/>
      <c r="M307" s="166"/>
      <c r="N307" s="6"/>
      <c r="O307" s="6"/>
      <c r="P307" s="6"/>
      <c r="Q307" s="6"/>
    </row>
    <row r="308" spans="2:17" x14ac:dyDescent="0.2">
      <c r="B308" s="6"/>
      <c r="C308" s="6"/>
      <c r="D308" s="6"/>
      <c r="E308" s="6"/>
      <c r="F308" s="166"/>
      <c r="G308" s="166"/>
      <c r="H308" s="166"/>
      <c r="I308" s="166"/>
      <c r="J308" s="166"/>
      <c r="K308" s="166"/>
      <c r="L308" s="166"/>
      <c r="M308" s="166"/>
      <c r="N308" s="6"/>
      <c r="O308" s="6"/>
      <c r="P308" s="6"/>
      <c r="Q308" s="6"/>
    </row>
    <row r="309" spans="2:17" x14ac:dyDescent="0.2">
      <c r="B309" s="6"/>
      <c r="C309" s="6"/>
      <c r="D309" s="6"/>
      <c r="E309" s="6"/>
      <c r="F309" s="166"/>
      <c r="G309" s="166"/>
      <c r="H309" s="166"/>
      <c r="I309" s="166"/>
      <c r="J309" s="166"/>
      <c r="K309" s="166"/>
      <c r="L309" s="166"/>
      <c r="M309" s="166"/>
      <c r="N309" s="6"/>
      <c r="O309" s="6"/>
      <c r="P309" s="6"/>
      <c r="Q309" s="6"/>
    </row>
    <row r="310" spans="2:17" x14ac:dyDescent="0.2">
      <c r="B310" s="6"/>
      <c r="C310" s="6"/>
      <c r="D310" s="6"/>
      <c r="E310" s="6"/>
      <c r="F310" s="166"/>
      <c r="G310" s="166"/>
      <c r="H310" s="166"/>
      <c r="I310" s="166"/>
      <c r="J310" s="166"/>
      <c r="K310" s="166"/>
      <c r="L310" s="166"/>
      <c r="M310" s="166"/>
      <c r="N310" s="6"/>
      <c r="O310" s="6"/>
      <c r="P310" s="6"/>
    </row>
    <row r="311" spans="2:17" x14ac:dyDescent="0.2">
      <c r="B311" s="6"/>
      <c r="C311" s="6"/>
      <c r="D311" s="6"/>
      <c r="E311" s="6"/>
      <c r="F311" s="166"/>
      <c r="G311" s="166"/>
      <c r="H311" s="166"/>
      <c r="I311" s="166"/>
      <c r="J311" s="166"/>
      <c r="K311" s="166"/>
      <c r="L311" s="166"/>
      <c r="M311" s="166"/>
      <c r="N311" s="6"/>
      <c r="O311" s="6"/>
      <c r="P311" s="6"/>
    </row>
  </sheetData>
  <sheetProtection algorithmName="SHA-512" hashValue="7Lt7MH1TQm8H99iu2mq00T8hF0gcEXq8HY8z7udN5muENm8duetF2xbxIIdL/769f7gDVopnJQ+5vkKNVmLr0w==" saltValue="+X9Jx6WeB164RWS5ttg6Ew==" spinCount="100000" sheet="1" objects="1" scenarios="1"/>
  <phoneticPr fontId="0" type="noConversion"/>
  <hyperlinks>
    <hyperlink ref="N216" r:id="rId1"/>
  </hyperlinks>
  <printOptions headings="1" gridLines="1"/>
  <pageMargins left="0.74803149606299213" right="0.74803149606299213" top="0.98425196850393704" bottom="0.98425196850393704" header="0.51181102362204722" footer="0.51181102362204722"/>
  <pageSetup paperSize="9" scale="41" orientation="portrait" r:id="rId2"/>
  <headerFooter alignWithMargins="0">
    <oddHeader>&amp;L&amp;"Arial,Vet"&amp;9&amp;F&amp;R&amp;"Arial,Vet"&amp;9&amp;A</oddHeader>
    <oddFooter>&amp;L&amp;"Arial,Vet"&amp;9be.keizer@wxs.nl&amp;C&amp;"Arial,Vet"&amp;9pagina &amp;P&amp;R&amp;"Arial,Vet"&amp;9&amp;D</oddFooter>
  </headerFooter>
  <rowBreaks count="2" manualBreakCount="2">
    <brk id="131" min="1" max="17" man="1"/>
    <brk id="216" min="1" max="17" man="1"/>
  </rowBreak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S321"/>
  <sheetViews>
    <sheetView showGridLines="0" zoomScale="85" zoomScaleNormal="85" zoomScaleSheetLayoutView="85" zoomScalePageLayoutView="80" workbookViewId="0">
      <selection activeCell="B2" sqref="B2"/>
    </sheetView>
  </sheetViews>
  <sheetFormatPr defaultRowHeight="12.75" x14ac:dyDescent="0.2"/>
  <cols>
    <col min="1" max="1" width="3.7109375" style="165" customWidth="1"/>
    <col min="2" max="3" width="2.7109375" style="165" customWidth="1"/>
    <col min="4" max="4" width="35.7109375" style="165" customWidth="1"/>
    <col min="5" max="5" width="1.7109375" style="165" customWidth="1"/>
    <col min="6" max="6" width="10.7109375" style="165" customWidth="1"/>
    <col min="7" max="7" width="2.42578125" style="165" customWidth="1"/>
    <col min="8" max="8" width="2.7109375" style="165" customWidth="1"/>
    <col min="9" max="14" width="14.85546875" style="405" customWidth="1"/>
    <col min="15" max="16" width="2.7109375" style="165" customWidth="1"/>
    <col min="17" max="17" width="9.140625" style="165"/>
    <col min="18" max="18" width="10" style="165" bestFit="1" customWidth="1"/>
    <col min="19" max="16384" width="9.140625" style="165"/>
  </cols>
  <sheetData>
    <row r="2" spans="2:16" x14ac:dyDescent="0.2">
      <c r="B2" s="18"/>
      <c r="C2" s="19"/>
      <c r="D2" s="19"/>
      <c r="E2" s="19"/>
      <c r="F2" s="19"/>
      <c r="G2" s="19"/>
      <c r="H2" s="19"/>
      <c r="I2" s="162"/>
      <c r="J2" s="162"/>
      <c r="K2" s="162"/>
      <c r="L2" s="162"/>
      <c r="M2" s="162"/>
      <c r="N2" s="162"/>
      <c r="O2" s="19"/>
      <c r="P2" s="20"/>
    </row>
    <row r="3" spans="2:16" x14ac:dyDescent="0.2">
      <c r="B3" s="21"/>
      <c r="C3" s="22"/>
      <c r="D3" s="23"/>
      <c r="E3" s="22"/>
      <c r="F3" s="23"/>
      <c r="G3" s="23"/>
      <c r="H3" s="22"/>
      <c r="I3" s="161"/>
      <c r="J3" s="161"/>
      <c r="K3" s="161"/>
      <c r="L3" s="161"/>
      <c r="M3" s="161"/>
      <c r="N3" s="161"/>
      <c r="O3" s="22"/>
      <c r="P3" s="25"/>
    </row>
    <row r="4" spans="2:16" s="168" customFormat="1" ht="18.75" x14ac:dyDescent="0.3">
      <c r="B4" s="175"/>
      <c r="C4" s="643" t="s">
        <v>412</v>
      </c>
      <c r="D4" s="177"/>
      <c r="E4" s="177"/>
      <c r="F4" s="177"/>
      <c r="G4" s="177"/>
      <c r="H4" s="177"/>
      <c r="I4" s="395"/>
      <c r="J4" s="395"/>
      <c r="K4" s="395"/>
      <c r="L4" s="395"/>
      <c r="M4" s="395"/>
      <c r="N4" s="395"/>
      <c r="O4" s="177"/>
      <c r="P4" s="179"/>
    </row>
    <row r="5" spans="2:16" s="169" customFormat="1" ht="18.75" x14ac:dyDescent="0.3">
      <c r="B5" s="26"/>
      <c r="C5" s="406" t="str">
        <f>'geg LO'!C5</f>
        <v xml:space="preserve">SWV VO </v>
      </c>
      <c r="D5" s="27"/>
      <c r="E5" s="27"/>
      <c r="F5" s="27"/>
      <c r="G5" s="27"/>
      <c r="H5" s="27"/>
      <c r="I5" s="396"/>
      <c r="J5" s="396"/>
      <c r="K5" s="396"/>
      <c r="L5" s="396"/>
      <c r="M5" s="396"/>
      <c r="N5" s="396"/>
      <c r="O5" s="27"/>
      <c r="P5" s="28"/>
    </row>
    <row r="6" spans="2:16" x14ac:dyDescent="0.2">
      <c r="B6" s="21"/>
      <c r="C6" s="22"/>
      <c r="D6" s="23"/>
      <c r="E6" s="77"/>
      <c r="F6" s="57"/>
      <c r="G6" s="57"/>
      <c r="H6" s="77"/>
      <c r="I6" s="161"/>
      <c r="J6" s="161"/>
      <c r="K6" s="161"/>
      <c r="L6" s="161"/>
      <c r="M6" s="161"/>
      <c r="N6" s="161"/>
      <c r="O6" s="22"/>
      <c r="P6" s="25"/>
    </row>
    <row r="7" spans="2:16" ht="15" x14ac:dyDescent="0.25">
      <c r="B7" s="21"/>
      <c r="C7" s="954" t="s">
        <v>588</v>
      </c>
      <c r="D7" s="23"/>
      <c r="E7" s="77"/>
      <c r="F7" s="57"/>
      <c r="G7" s="57"/>
      <c r="H7" s="77"/>
      <c r="I7" s="161"/>
      <c r="J7" s="161"/>
      <c r="K7" s="161"/>
      <c r="L7" s="161"/>
      <c r="M7" s="161"/>
      <c r="N7" s="161"/>
      <c r="O7" s="22"/>
      <c r="P7" s="25"/>
    </row>
    <row r="8" spans="2:16" x14ac:dyDescent="0.2">
      <c r="B8" s="21"/>
      <c r="C8" s="22"/>
      <c r="D8" s="23"/>
      <c r="E8" s="77"/>
      <c r="F8" s="57"/>
      <c r="G8" s="57"/>
      <c r="H8" s="77"/>
      <c r="I8" s="573"/>
      <c r="J8" s="573"/>
      <c r="K8" s="573"/>
      <c r="L8" s="573"/>
      <c r="M8" s="573"/>
      <c r="N8" s="573"/>
      <c r="O8" s="22"/>
      <c r="P8" s="25"/>
    </row>
    <row r="9" spans="2:16" x14ac:dyDescent="0.2">
      <c r="B9" s="21"/>
      <c r="C9" s="22"/>
      <c r="D9" s="22"/>
      <c r="E9" s="595"/>
      <c r="F9" s="594"/>
      <c r="G9" s="609"/>
      <c r="H9" s="595" t="s">
        <v>145</v>
      </c>
      <c r="I9" s="596" t="str">
        <f>tab!E2</f>
        <v>2015/16</v>
      </c>
      <c r="J9" s="596" t="str">
        <f>tab!F2</f>
        <v>2016/17</v>
      </c>
      <c r="K9" s="596" t="str">
        <f>tab!G2</f>
        <v>2017/18</v>
      </c>
      <c r="L9" s="596" t="str">
        <f>tab!H2</f>
        <v>2018/19</v>
      </c>
      <c r="M9" s="596" t="str">
        <f>tab!I2</f>
        <v>2019/20</v>
      </c>
      <c r="N9" s="596" t="str">
        <f>tab!J2</f>
        <v>2020/21</v>
      </c>
      <c r="O9" s="22"/>
      <c r="P9" s="25"/>
    </row>
    <row r="10" spans="2:16" x14ac:dyDescent="0.2">
      <c r="B10" s="21"/>
      <c r="C10" s="22"/>
      <c r="D10" s="59"/>
      <c r="E10" s="77"/>
      <c r="F10" s="57"/>
      <c r="G10" s="57"/>
      <c r="H10" s="77"/>
      <c r="I10" s="573"/>
      <c r="J10" s="573"/>
      <c r="K10" s="573"/>
      <c r="L10" s="573"/>
      <c r="M10" s="573"/>
      <c r="N10" s="573"/>
      <c r="O10" s="22"/>
      <c r="P10" s="25"/>
    </row>
    <row r="11" spans="2:16" x14ac:dyDescent="0.2">
      <c r="B11" s="21"/>
      <c r="C11" s="35"/>
      <c r="D11" s="37"/>
      <c r="E11" s="35"/>
      <c r="F11" s="37"/>
      <c r="G11" s="37"/>
      <c r="H11" s="35"/>
      <c r="I11" s="407"/>
      <c r="J11" s="398"/>
      <c r="K11" s="407"/>
      <c r="L11" s="407"/>
      <c r="M11" s="407"/>
      <c r="N11" s="407"/>
      <c r="O11" s="35"/>
      <c r="P11" s="25"/>
    </row>
    <row r="12" spans="2:16" x14ac:dyDescent="0.2">
      <c r="B12" s="21"/>
      <c r="C12" s="35"/>
      <c r="D12" s="604" t="s">
        <v>388</v>
      </c>
      <c r="E12" s="35"/>
      <c r="F12" s="37"/>
      <c r="G12" s="37"/>
      <c r="H12" s="35"/>
      <c r="I12" s="407"/>
      <c r="J12" s="398"/>
      <c r="K12" s="407"/>
      <c r="L12" s="407"/>
      <c r="M12" s="407"/>
      <c r="N12" s="407"/>
      <c r="O12" s="35"/>
      <c r="P12" s="25"/>
    </row>
    <row r="13" spans="2:16" x14ac:dyDescent="0.2">
      <c r="B13" s="21"/>
      <c r="C13" s="35"/>
      <c r="D13" s="37"/>
      <c r="E13" s="35"/>
      <c r="F13" s="37"/>
      <c r="G13" s="37"/>
      <c r="H13" s="35"/>
      <c r="I13" s="407"/>
      <c r="J13" s="398"/>
      <c r="K13" s="407"/>
      <c r="L13" s="407"/>
      <c r="M13" s="407"/>
      <c r="N13" s="407"/>
      <c r="O13" s="35"/>
      <c r="P13" s="25"/>
    </row>
    <row r="14" spans="2:16" x14ac:dyDescent="0.2">
      <c r="B14" s="21"/>
      <c r="C14" s="35"/>
      <c r="D14" s="37"/>
      <c r="E14" s="35"/>
      <c r="F14" s="37"/>
      <c r="G14" s="37"/>
      <c r="H14" s="35"/>
      <c r="I14" s="607" t="str">
        <f>+tab!E2</f>
        <v>2015/16</v>
      </c>
      <c r="J14" s="607" t="str">
        <f>+tab!F2</f>
        <v>2016/17</v>
      </c>
      <c r="K14" s="607" t="str">
        <f>+tab!G2</f>
        <v>2017/18</v>
      </c>
      <c r="L14" s="607" t="str">
        <f>+tab!H2</f>
        <v>2018/19</v>
      </c>
      <c r="M14" s="607" t="str">
        <f>+tab!I2</f>
        <v>2019/20</v>
      </c>
      <c r="N14" s="607" t="str">
        <f>+tab!J2</f>
        <v>2020/21</v>
      </c>
      <c r="O14" s="35"/>
      <c r="P14" s="25"/>
    </row>
    <row r="15" spans="2:16" x14ac:dyDescent="0.2">
      <c r="B15" s="21"/>
      <c r="C15" s="35"/>
      <c r="D15" s="191" t="s">
        <v>413</v>
      </c>
      <c r="E15" s="35"/>
      <c r="F15" s="35"/>
      <c r="G15" s="35"/>
      <c r="H15" s="35"/>
      <c r="I15" s="551">
        <f t="shared" ref="I15:N15" si="0">+I150</f>
        <v>0</v>
      </c>
      <c r="J15" s="551">
        <f t="shared" si="0"/>
        <v>0</v>
      </c>
      <c r="K15" s="551">
        <f t="shared" si="0"/>
        <v>0</v>
      </c>
      <c r="L15" s="551">
        <f t="shared" si="0"/>
        <v>0</v>
      </c>
      <c r="M15" s="551">
        <f t="shared" si="0"/>
        <v>0</v>
      </c>
      <c r="N15" s="551">
        <f t="shared" si="0"/>
        <v>0</v>
      </c>
      <c r="O15" s="35"/>
      <c r="P15" s="25"/>
    </row>
    <row r="16" spans="2:16" x14ac:dyDescent="0.2">
      <c r="B16" s="21"/>
      <c r="C16" s="35"/>
      <c r="D16" s="35" t="s">
        <v>43</v>
      </c>
      <c r="E16" s="35"/>
      <c r="F16" s="35"/>
      <c r="G16" s="35"/>
      <c r="H16" s="35"/>
      <c r="I16" s="611">
        <f>+pers!H63+pers!H67</f>
        <v>0</v>
      </c>
      <c r="J16" s="611">
        <f>+pers!I63+pers!I67</f>
        <v>0</v>
      </c>
      <c r="K16" s="611">
        <f>+pers!J63+pers!J67</f>
        <v>0</v>
      </c>
      <c r="L16" s="611">
        <f>+pers!K63+pers!K67</f>
        <v>0</v>
      </c>
      <c r="M16" s="611">
        <f>+pers!L63+pers!L67</f>
        <v>0</v>
      </c>
      <c r="N16" s="611">
        <f>+pers!M63+pers!M67</f>
        <v>0</v>
      </c>
      <c r="O16" s="35"/>
      <c r="P16" s="25"/>
    </row>
    <row r="17" spans="2:16" x14ac:dyDescent="0.2">
      <c r="B17" s="21"/>
      <c r="C17" s="35"/>
      <c r="D17" s="199" t="s">
        <v>16</v>
      </c>
      <c r="E17" s="35"/>
      <c r="F17" s="35"/>
      <c r="G17" s="35"/>
      <c r="H17" s="35"/>
      <c r="I17" s="554">
        <f t="shared" ref="I17:N17" si="1">IF(I15&gt;I16,I15-I16,0)</f>
        <v>0</v>
      </c>
      <c r="J17" s="554">
        <f t="shared" si="1"/>
        <v>0</v>
      </c>
      <c r="K17" s="554">
        <f t="shared" si="1"/>
        <v>0</v>
      </c>
      <c r="L17" s="554">
        <f t="shared" si="1"/>
        <v>0</v>
      </c>
      <c r="M17" s="554">
        <f t="shared" si="1"/>
        <v>0</v>
      </c>
      <c r="N17" s="554">
        <f t="shared" si="1"/>
        <v>0</v>
      </c>
      <c r="O17" s="35"/>
      <c r="P17" s="25"/>
    </row>
    <row r="18" spans="2:16" x14ac:dyDescent="0.2">
      <c r="B18" s="80"/>
      <c r="C18" s="199"/>
      <c r="D18" s="199" t="s">
        <v>414</v>
      </c>
      <c r="E18" s="199"/>
      <c r="F18" s="199"/>
      <c r="G18" s="199"/>
      <c r="H18" s="199"/>
      <c r="I18" s="555" t="e">
        <f>ROUND(I17/'geg ZO'!J37,2)</f>
        <v>#DIV/0!</v>
      </c>
      <c r="J18" s="555" t="e">
        <f>ROUND(J17/'geg ZO'!K37,2)</f>
        <v>#DIV/0!</v>
      </c>
      <c r="K18" s="555" t="e">
        <f>ROUND(K17/'geg ZO'!L37,2)</f>
        <v>#DIV/0!</v>
      </c>
      <c r="L18" s="555" t="e">
        <f>ROUND(L17/'geg ZO'!M37,2)</f>
        <v>#DIV/0!</v>
      </c>
      <c r="M18" s="555" t="e">
        <f>ROUND(M17/'geg ZO'!N37,2)</f>
        <v>#DIV/0!</v>
      </c>
      <c r="N18" s="555" t="e">
        <f>ROUND(N17/'geg ZO'!O37,2)</f>
        <v>#DIV/0!</v>
      </c>
      <c r="O18" s="199"/>
      <c r="P18" s="91"/>
    </row>
    <row r="19" spans="2:16" x14ac:dyDescent="0.2">
      <c r="B19" s="21"/>
      <c r="C19" s="35"/>
      <c r="D19" s="35"/>
      <c r="E19" s="35"/>
      <c r="F19" s="35"/>
      <c r="G19" s="35"/>
      <c r="H19" s="35"/>
      <c r="I19" s="407"/>
      <c r="J19" s="407"/>
      <c r="K19" s="407"/>
      <c r="L19" s="407"/>
      <c r="M19" s="407"/>
      <c r="N19" s="407"/>
      <c r="O19" s="35"/>
      <c r="P19" s="25"/>
    </row>
    <row r="20" spans="2:16" x14ac:dyDescent="0.2">
      <c r="B20" s="21"/>
      <c r="C20" s="35"/>
      <c r="D20" s="35"/>
      <c r="E20" s="35"/>
      <c r="F20" s="35"/>
      <c r="G20" s="35"/>
      <c r="H20" s="35"/>
      <c r="I20" s="637">
        <f>tab!E4</f>
        <v>2015</v>
      </c>
      <c r="J20" s="607">
        <f t="shared" ref="J20:N20" si="2">+I20+1</f>
        <v>2016</v>
      </c>
      <c r="K20" s="607">
        <f t="shared" si="2"/>
        <v>2017</v>
      </c>
      <c r="L20" s="607">
        <f t="shared" si="2"/>
        <v>2018</v>
      </c>
      <c r="M20" s="607">
        <f t="shared" si="2"/>
        <v>2019</v>
      </c>
      <c r="N20" s="607">
        <f t="shared" si="2"/>
        <v>2020</v>
      </c>
      <c r="O20" s="35"/>
      <c r="P20" s="25"/>
    </row>
    <row r="21" spans="2:16" s="171" customFormat="1" x14ac:dyDescent="0.2">
      <c r="B21" s="21"/>
      <c r="C21" s="35"/>
      <c r="D21" s="191" t="s">
        <v>415</v>
      </c>
      <c r="E21" s="35"/>
      <c r="F21" s="35"/>
      <c r="G21" s="35"/>
      <c r="H21" s="35"/>
      <c r="I21" s="551">
        <f t="shared" ref="I21:N21" si="3">I266</f>
        <v>0</v>
      </c>
      <c r="J21" s="551">
        <f t="shared" si="3"/>
        <v>0</v>
      </c>
      <c r="K21" s="551">
        <f t="shared" si="3"/>
        <v>0</v>
      </c>
      <c r="L21" s="551">
        <f t="shared" si="3"/>
        <v>0</v>
      </c>
      <c r="M21" s="551">
        <f t="shared" si="3"/>
        <v>0</v>
      </c>
      <c r="N21" s="551">
        <f t="shared" si="3"/>
        <v>0</v>
      </c>
      <c r="O21" s="35"/>
      <c r="P21" s="25"/>
    </row>
    <row r="22" spans="2:16" s="171" customFormat="1" x14ac:dyDescent="0.2">
      <c r="B22" s="21"/>
      <c r="C22" s="35"/>
      <c r="D22" s="35" t="s">
        <v>17</v>
      </c>
      <c r="E22" s="35"/>
      <c r="F22" s="35"/>
      <c r="G22" s="35"/>
      <c r="H22" s="35"/>
      <c r="I22" s="551">
        <f>+mat!J33+mat!J40</f>
        <v>0</v>
      </c>
      <c r="J22" s="551">
        <f>+mat!K33+mat!K40</f>
        <v>0</v>
      </c>
      <c r="K22" s="551">
        <f>+mat!L33+mat!L40</f>
        <v>0</v>
      </c>
      <c r="L22" s="551">
        <f>+mat!M33+mat!M40</f>
        <v>0</v>
      </c>
      <c r="M22" s="551">
        <f>+mat!N33+mat!N40</f>
        <v>0</v>
      </c>
      <c r="N22" s="551">
        <f>+mat!O33+mat!O40</f>
        <v>0</v>
      </c>
      <c r="O22" s="35"/>
      <c r="P22" s="25"/>
    </row>
    <row r="23" spans="2:16" s="171" customFormat="1" x14ac:dyDescent="0.2">
      <c r="B23" s="21"/>
      <c r="C23" s="35"/>
      <c r="D23" s="199" t="s">
        <v>18</v>
      </c>
      <c r="E23" s="190"/>
      <c r="F23" s="37"/>
      <c r="G23" s="37"/>
      <c r="H23" s="190"/>
      <c r="I23" s="554">
        <f t="shared" ref="I23:N23" si="4">IF(I21&gt;I22,I21-I22,0)</f>
        <v>0</v>
      </c>
      <c r="J23" s="554">
        <f t="shared" si="4"/>
        <v>0</v>
      </c>
      <c r="K23" s="554">
        <f t="shared" si="4"/>
        <v>0</v>
      </c>
      <c r="L23" s="554">
        <f t="shared" si="4"/>
        <v>0</v>
      </c>
      <c r="M23" s="554">
        <f t="shared" si="4"/>
        <v>0</v>
      </c>
      <c r="N23" s="554">
        <f t="shared" si="4"/>
        <v>0</v>
      </c>
      <c r="O23" s="190"/>
      <c r="P23" s="25"/>
    </row>
    <row r="24" spans="2:16" s="171" customFormat="1" x14ac:dyDescent="0.2">
      <c r="B24" s="21"/>
      <c r="C24" s="35"/>
      <c r="D24" s="199" t="s">
        <v>414</v>
      </c>
      <c r="E24" s="35"/>
      <c r="F24" s="35"/>
      <c r="G24" s="35"/>
      <c r="H24" s="35"/>
      <c r="I24" s="555" t="e">
        <f>ROUND(I23/'geg ZO'!J37,2)</f>
        <v>#DIV/0!</v>
      </c>
      <c r="J24" s="555" t="e">
        <f>ROUND(J23/'geg ZO'!K37,2)</f>
        <v>#DIV/0!</v>
      </c>
      <c r="K24" s="555" t="e">
        <f>ROUND(K23/'geg ZO'!L37,2)</f>
        <v>#DIV/0!</v>
      </c>
      <c r="L24" s="555" t="e">
        <f>ROUND(L23/'geg ZO'!M37,2)</f>
        <v>#DIV/0!</v>
      </c>
      <c r="M24" s="555" t="e">
        <f>ROUND(M23/'geg ZO'!N37,2)</f>
        <v>#DIV/0!</v>
      </c>
      <c r="N24" s="555" t="e">
        <f>ROUND(N23/'geg ZO'!O37,2)</f>
        <v>#DIV/0!</v>
      </c>
      <c r="O24" s="35"/>
      <c r="P24" s="25"/>
    </row>
    <row r="25" spans="2:16" s="171" customFormat="1" x14ac:dyDescent="0.2">
      <c r="B25" s="21"/>
      <c r="C25" s="35"/>
      <c r="D25" s="540"/>
      <c r="E25" s="540"/>
      <c r="F25" s="540"/>
      <c r="G25" s="540"/>
      <c r="H25" s="540"/>
      <c r="I25" s="612"/>
      <c r="J25" s="612"/>
      <c r="K25" s="612"/>
      <c r="L25" s="612"/>
      <c r="M25" s="612"/>
      <c r="N25" s="612"/>
      <c r="O25" s="35"/>
      <c r="P25" s="25"/>
    </row>
    <row r="26" spans="2:16" s="171" customFormat="1" x14ac:dyDescent="0.2">
      <c r="B26" s="21"/>
      <c r="C26" s="35"/>
      <c r="D26" s="32"/>
      <c r="E26" s="32"/>
      <c r="F26" s="32"/>
      <c r="G26" s="32"/>
      <c r="H26" s="32"/>
      <c r="I26" s="572"/>
      <c r="J26" s="572"/>
      <c r="K26" s="572"/>
      <c r="L26" s="572"/>
      <c r="M26" s="572"/>
      <c r="N26" s="572"/>
      <c r="O26" s="35"/>
      <c r="P26" s="25"/>
    </row>
    <row r="27" spans="2:16" s="171" customFormat="1" x14ac:dyDescent="0.2">
      <c r="B27" s="21"/>
      <c r="C27" s="35"/>
      <c r="D27" s="35"/>
      <c r="E27" s="35"/>
      <c r="F27" s="35"/>
      <c r="G27" s="35"/>
      <c r="H27" s="35"/>
      <c r="I27" s="607" t="str">
        <f>+tab!E2</f>
        <v>2015/16</v>
      </c>
      <c r="J27" s="607" t="str">
        <f>+tab!F2</f>
        <v>2016/17</v>
      </c>
      <c r="K27" s="607" t="str">
        <f>+tab!G2</f>
        <v>2017/18</v>
      </c>
      <c r="L27" s="607" t="str">
        <f>+tab!H2</f>
        <v>2018/19</v>
      </c>
      <c r="M27" s="607" t="str">
        <f>+tab!I2</f>
        <v>2019/20</v>
      </c>
      <c r="N27" s="607" t="str">
        <f>+tab!J2</f>
        <v>2020/21</v>
      </c>
      <c r="O27" s="35"/>
      <c r="P27" s="25"/>
    </row>
    <row r="28" spans="2:16" s="171" customFormat="1" x14ac:dyDescent="0.2">
      <c r="B28" s="21"/>
      <c r="C28" s="35"/>
      <c r="D28" s="191" t="s">
        <v>72</v>
      </c>
      <c r="E28" s="35"/>
      <c r="F28" s="35"/>
      <c r="G28" s="35"/>
      <c r="H28" s="35"/>
      <c r="I28" s="554">
        <f t="shared" ref="I28:K28" si="5">+I17+5/12*I23+7/12*J23</f>
        <v>0</v>
      </c>
      <c r="J28" s="554">
        <f t="shared" si="5"/>
        <v>0</v>
      </c>
      <c r="K28" s="554">
        <f t="shared" si="5"/>
        <v>0</v>
      </c>
      <c r="L28" s="554">
        <f>+L17+L23</f>
        <v>0</v>
      </c>
      <c r="M28" s="554">
        <f>+M17+M23</f>
        <v>0</v>
      </c>
      <c r="N28" s="554">
        <f>+N17+N23</f>
        <v>0</v>
      </c>
      <c r="O28" s="35"/>
      <c r="P28" s="25"/>
    </row>
    <row r="29" spans="2:16" s="171" customFormat="1" x14ac:dyDescent="0.2">
      <c r="B29" s="21"/>
      <c r="C29" s="35"/>
      <c r="D29" s="191" t="s">
        <v>414</v>
      </c>
      <c r="E29" s="35"/>
      <c r="F29" s="35"/>
      <c r="G29" s="35"/>
      <c r="H29" s="35"/>
      <c r="I29" s="556" t="e">
        <f>ROUND(I28/'geg ZO'!J37,2)</f>
        <v>#DIV/0!</v>
      </c>
      <c r="J29" s="556" t="e">
        <f>ROUND(J28/'geg ZO'!K37,2)</f>
        <v>#DIV/0!</v>
      </c>
      <c r="K29" s="556" t="e">
        <f>ROUND(K28/'geg ZO'!L37,2)</f>
        <v>#DIV/0!</v>
      </c>
      <c r="L29" s="556" t="e">
        <f>ROUND(L28/'geg ZO'!M37,2)</f>
        <v>#DIV/0!</v>
      </c>
      <c r="M29" s="556" t="e">
        <f>ROUND(M28/'geg ZO'!N37,2)</f>
        <v>#DIV/0!</v>
      </c>
      <c r="N29" s="556" t="e">
        <f>ROUND(N28/'geg ZO'!O37,2)</f>
        <v>#DIV/0!</v>
      </c>
      <c r="O29" s="35"/>
      <c r="P29" s="25"/>
    </row>
    <row r="30" spans="2:16" s="171" customFormat="1" x14ac:dyDescent="0.2">
      <c r="B30" s="21"/>
      <c r="C30" s="35"/>
      <c r="D30" s="35"/>
      <c r="E30" s="35"/>
      <c r="F30" s="35"/>
      <c r="G30" s="35"/>
      <c r="H30" s="35"/>
      <c r="I30" s="407"/>
      <c r="J30" s="407"/>
      <c r="K30" s="407"/>
      <c r="L30" s="407"/>
      <c r="M30" s="407"/>
      <c r="N30" s="407"/>
      <c r="O30" s="35"/>
      <c r="P30" s="25"/>
    </row>
    <row r="31" spans="2:16" x14ac:dyDescent="0.2">
      <c r="B31" s="21"/>
      <c r="C31" s="35"/>
      <c r="D31" s="35"/>
      <c r="E31" s="35"/>
      <c r="F31" s="35"/>
      <c r="G31" s="35"/>
      <c r="H31" s="35"/>
      <c r="I31" s="637">
        <f>I20</f>
        <v>2015</v>
      </c>
      <c r="J31" s="637">
        <f t="shared" ref="J31:N31" si="6">J20</f>
        <v>2016</v>
      </c>
      <c r="K31" s="637">
        <f t="shared" si="6"/>
        <v>2017</v>
      </c>
      <c r="L31" s="637">
        <f t="shared" si="6"/>
        <v>2018</v>
      </c>
      <c r="M31" s="637">
        <f t="shared" si="6"/>
        <v>2019</v>
      </c>
      <c r="N31" s="637">
        <f t="shared" si="6"/>
        <v>2020</v>
      </c>
      <c r="O31" s="35"/>
      <c r="P31" s="25"/>
    </row>
    <row r="32" spans="2:16" x14ac:dyDescent="0.2">
      <c r="B32" s="21"/>
      <c r="C32" s="35"/>
      <c r="D32" s="191" t="s">
        <v>73</v>
      </c>
      <c r="E32" s="35"/>
      <c r="F32" s="35"/>
      <c r="G32" s="35"/>
      <c r="H32" s="35"/>
      <c r="I32" s="554">
        <f>5/12*I17+I23</f>
        <v>0</v>
      </c>
      <c r="J32" s="554">
        <f>7/12*I17+5/12*J17+J23</f>
        <v>0</v>
      </c>
      <c r="K32" s="554">
        <f>7/12*J17+5/12*K17+K23</f>
        <v>0</v>
      </c>
      <c r="L32" s="554">
        <f>7/12*K17+5/12*L17+L23</f>
        <v>0</v>
      </c>
      <c r="M32" s="554">
        <f>7/12*L17+5/12*M17+M23</f>
        <v>0</v>
      </c>
      <c r="N32" s="554">
        <f>7/12*M17+5/12*N17+N23</f>
        <v>0</v>
      </c>
      <c r="O32" s="35"/>
      <c r="P32" s="25"/>
    </row>
    <row r="33" spans="2:31" x14ac:dyDescent="0.2">
      <c r="B33" s="21"/>
      <c r="C33" s="35"/>
      <c r="D33" s="191" t="s">
        <v>414</v>
      </c>
      <c r="E33" s="35"/>
      <c r="F33" s="35"/>
      <c r="G33" s="35"/>
      <c r="H33" s="35"/>
      <c r="I33" s="556" t="e">
        <f>ROUND(I32/'geg ZO'!J37,2)</f>
        <v>#DIV/0!</v>
      </c>
      <c r="J33" s="556" t="e">
        <f>ROUND(J32/'geg ZO'!K37,2)</f>
        <v>#DIV/0!</v>
      </c>
      <c r="K33" s="556" t="e">
        <f>ROUND(K32/'geg ZO'!L37,2)</f>
        <v>#DIV/0!</v>
      </c>
      <c r="L33" s="556" t="e">
        <f>ROUND(L32/'geg ZO'!M37,2)</f>
        <v>#DIV/0!</v>
      </c>
      <c r="M33" s="556" t="e">
        <f>ROUND(M32/'geg ZO'!N37,2)</f>
        <v>#DIV/0!</v>
      </c>
      <c r="N33" s="556" t="e">
        <f>ROUND(N32/'geg ZO'!O37,2)</f>
        <v>#DIV/0!</v>
      </c>
      <c r="O33" s="35"/>
      <c r="P33" s="25"/>
    </row>
    <row r="34" spans="2:31" x14ac:dyDescent="0.2">
      <c r="B34" s="21"/>
      <c r="C34" s="35"/>
      <c r="D34" s="35"/>
      <c r="E34" s="35"/>
      <c r="F34" s="35"/>
      <c r="G34" s="35"/>
      <c r="H34" s="35"/>
      <c r="I34" s="407"/>
      <c r="J34" s="407"/>
      <c r="K34" s="407"/>
      <c r="L34" s="407"/>
      <c r="M34" s="407"/>
      <c r="N34" s="407"/>
      <c r="O34" s="35"/>
      <c r="P34" s="25"/>
    </row>
    <row r="35" spans="2:31" x14ac:dyDescent="0.2">
      <c r="B35" s="21"/>
      <c r="C35" s="161"/>
      <c r="D35" s="161"/>
      <c r="E35" s="161"/>
      <c r="F35" s="161"/>
      <c r="G35" s="161"/>
      <c r="H35" s="161"/>
      <c r="I35" s="161"/>
      <c r="J35" s="161"/>
      <c r="K35" s="161"/>
      <c r="L35" s="161"/>
      <c r="M35" s="161"/>
      <c r="N35" s="161"/>
      <c r="O35" s="161"/>
      <c r="P35" s="25"/>
    </row>
    <row r="36" spans="2:31" x14ac:dyDescent="0.2">
      <c r="B36" s="183"/>
      <c r="C36" s="164"/>
      <c r="D36" s="164"/>
      <c r="E36" s="164"/>
      <c r="F36" s="164"/>
      <c r="G36" s="164"/>
      <c r="H36" s="164"/>
      <c r="I36" s="164"/>
      <c r="J36" s="164"/>
      <c r="K36" s="164"/>
      <c r="L36" s="164"/>
      <c r="M36" s="164"/>
      <c r="N36" s="164"/>
      <c r="O36" s="164"/>
      <c r="P36" s="185"/>
    </row>
    <row r="37" spans="2:31" x14ac:dyDescent="0.2">
      <c r="B37" s="18"/>
      <c r="C37" s="162"/>
      <c r="D37" s="162"/>
      <c r="E37" s="162"/>
      <c r="F37" s="162"/>
      <c r="G37" s="162"/>
      <c r="H37" s="162"/>
      <c r="I37" s="162"/>
      <c r="J37" s="162"/>
      <c r="K37" s="162"/>
      <c r="L37" s="162"/>
      <c r="M37" s="162"/>
      <c r="N37" s="162"/>
      <c r="O37" s="162"/>
      <c r="P37" s="20"/>
    </row>
    <row r="38" spans="2:31" x14ac:dyDescent="0.2">
      <c r="B38" s="21"/>
      <c r="C38" s="161"/>
      <c r="D38" s="161"/>
      <c r="E38" s="161"/>
      <c r="F38" s="161"/>
      <c r="G38" s="161"/>
      <c r="H38" s="161"/>
      <c r="I38" s="161"/>
      <c r="J38" s="161"/>
      <c r="K38" s="161"/>
      <c r="L38" s="161"/>
      <c r="M38" s="161"/>
      <c r="N38" s="161"/>
      <c r="O38" s="161"/>
      <c r="P38" s="25"/>
    </row>
    <row r="39" spans="2:31" x14ac:dyDescent="0.2">
      <c r="B39" s="21"/>
      <c r="C39" s="161"/>
      <c r="D39" s="615"/>
      <c r="E39" s="615"/>
      <c r="F39" s="615"/>
      <c r="G39" s="615"/>
      <c r="H39" s="615"/>
      <c r="I39" s="596" t="str">
        <f t="shared" ref="I39:N39" si="7">+I9</f>
        <v>2015/16</v>
      </c>
      <c r="J39" s="596" t="str">
        <f t="shared" si="7"/>
        <v>2016/17</v>
      </c>
      <c r="K39" s="596" t="str">
        <f t="shared" si="7"/>
        <v>2017/18</v>
      </c>
      <c r="L39" s="596" t="str">
        <f t="shared" si="7"/>
        <v>2018/19</v>
      </c>
      <c r="M39" s="596" t="str">
        <f t="shared" si="7"/>
        <v>2019/20</v>
      </c>
      <c r="N39" s="596" t="str">
        <f t="shared" si="7"/>
        <v>2020/21</v>
      </c>
      <c r="O39" s="161"/>
      <c r="P39" s="25"/>
    </row>
    <row r="40" spans="2:31" x14ac:dyDescent="0.2">
      <c r="B40" s="21"/>
      <c r="C40" s="161"/>
      <c r="D40" s="615"/>
      <c r="E40" s="615"/>
      <c r="F40" s="615"/>
      <c r="G40" s="615"/>
      <c r="H40" s="615"/>
      <c r="I40" s="615"/>
      <c r="J40" s="615"/>
      <c r="K40" s="615"/>
      <c r="L40" s="615"/>
      <c r="M40" s="615"/>
      <c r="N40" s="615"/>
      <c r="O40" s="161"/>
      <c r="P40" s="25"/>
    </row>
    <row r="41" spans="2:31" x14ac:dyDescent="0.2">
      <c r="B41" s="21"/>
      <c r="C41" s="32"/>
      <c r="D41" s="623"/>
      <c r="E41" s="624"/>
      <c r="F41" s="623"/>
      <c r="G41" s="623"/>
      <c r="H41" s="624"/>
      <c r="I41" s="625"/>
      <c r="J41" s="625"/>
      <c r="K41" s="625"/>
      <c r="L41" s="625"/>
      <c r="M41" s="625"/>
      <c r="N41" s="625"/>
      <c r="O41" s="32"/>
      <c r="P41" s="25"/>
    </row>
    <row r="42" spans="2:31" x14ac:dyDescent="0.2">
      <c r="B42" s="21"/>
      <c r="C42" s="35"/>
      <c r="D42" s="604" t="s">
        <v>30</v>
      </c>
      <c r="E42" s="613"/>
      <c r="F42" s="604"/>
      <c r="G42" s="604"/>
      <c r="H42" s="613"/>
      <c r="I42" s="626"/>
      <c r="J42" s="626"/>
      <c r="K42" s="626"/>
      <c r="L42" s="626"/>
      <c r="M42" s="626"/>
      <c r="N42" s="626"/>
      <c r="O42" s="35"/>
      <c r="P42" s="25"/>
    </row>
    <row r="43" spans="2:31" x14ac:dyDescent="0.2">
      <c r="B43" s="21"/>
      <c r="C43" s="35"/>
      <c r="D43" s="408"/>
      <c r="E43" s="35"/>
      <c r="F43" s="408"/>
      <c r="G43" s="408"/>
      <c r="H43" s="35"/>
      <c r="I43" s="407"/>
      <c r="J43" s="407"/>
      <c r="K43" s="407"/>
      <c r="L43" s="407"/>
      <c r="M43" s="407"/>
      <c r="N43" s="407"/>
      <c r="O43" s="35"/>
      <c r="P43" s="25"/>
      <c r="AC43" s="196"/>
      <c r="AD43" s="196"/>
      <c r="AE43" s="196"/>
    </row>
    <row r="44" spans="2:31" x14ac:dyDescent="0.2">
      <c r="B44" s="21"/>
      <c r="C44" s="35"/>
      <c r="D44" s="603" t="str">
        <f>'geg ZO'!D66</f>
        <v>School 1</v>
      </c>
      <c r="E44" s="35"/>
      <c r="F44" s="398" t="s">
        <v>382</v>
      </c>
      <c r="G44" s="71"/>
      <c r="H44" s="35"/>
      <c r="I44" s="553">
        <f>ROUND('geg ZO'!J66*VLOOKUP($F44,categoriePersVSO,5,FALSE),0)</f>
        <v>0</v>
      </c>
      <c r="J44" s="553">
        <f>ROUND('geg ZO'!K66*VLOOKUP($F44,categoriePersVSO,5,FALSE),0)</f>
        <v>0</v>
      </c>
      <c r="K44" s="553">
        <f>ROUND('geg ZO'!L66*VLOOKUP($F44,categoriePersVSO,5,FALSE),0)</f>
        <v>0</v>
      </c>
      <c r="L44" s="553">
        <f>ROUND('geg ZO'!M66*VLOOKUP($F44,categoriePersVSO,5,FALSE),0)</f>
        <v>0</v>
      </c>
      <c r="M44" s="553">
        <f>ROUND('geg ZO'!N66*VLOOKUP($F44,categoriePersVSO,5,FALSE),0)</f>
        <v>0</v>
      </c>
      <c r="N44" s="553">
        <f>ROUND('geg ZO'!O66*VLOOKUP($F44,categoriePersVSO,5,FALSE),0)</f>
        <v>0</v>
      </c>
      <c r="O44" s="35"/>
      <c r="P44" s="25"/>
    </row>
    <row r="45" spans="2:31" x14ac:dyDescent="0.2">
      <c r="B45" s="21"/>
      <c r="C45" s="35"/>
      <c r="D45" s="191" t="s">
        <v>25</v>
      </c>
      <c r="E45" s="35"/>
      <c r="F45" s="398" t="s">
        <v>383</v>
      </c>
      <c r="G45" s="71"/>
      <c r="H45" s="35"/>
      <c r="I45" s="553">
        <f>ROUND('geg ZO'!J67*VLOOKUP($F45,categoriePersVSO,5,FALSE),0)</f>
        <v>0</v>
      </c>
      <c r="J45" s="553">
        <f>ROUND('geg ZO'!K67*VLOOKUP($F45,categoriePersVSO,5,FALSE),0)</f>
        <v>0</v>
      </c>
      <c r="K45" s="553">
        <f>ROUND('geg ZO'!L67*VLOOKUP($F45,categoriePersVSO,5,FALSE),0)</f>
        <v>0</v>
      </c>
      <c r="L45" s="553">
        <f>ROUND('geg ZO'!M67*VLOOKUP($F45,categoriePersVSO,5,FALSE),0)</f>
        <v>0</v>
      </c>
      <c r="M45" s="553">
        <f>ROUND('geg ZO'!N67*VLOOKUP($F45,categoriePersVSO,5,FALSE),0)</f>
        <v>0</v>
      </c>
      <c r="N45" s="553">
        <f>ROUND('geg ZO'!O67*VLOOKUP($F45,categoriePersVSO,5,FALSE),0)</f>
        <v>0</v>
      </c>
      <c r="O45" s="35"/>
      <c r="P45" s="25"/>
    </row>
    <row r="46" spans="2:31" x14ac:dyDescent="0.2">
      <c r="B46" s="21"/>
      <c r="C46" s="35"/>
      <c r="D46" s="191"/>
      <c r="E46" s="35"/>
      <c r="F46" s="398" t="s">
        <v>384</v>
      </c>
      <c r="G46" s="71"/>
      <c r="H46" s="35"/>
      <c r="I46" s="553">
        <f>ROUND('geg ZO'!J68*VLOOKUP($F46,categoriePersVSO,5,FALSE),0)</f>
        <v>0</v>
      </c>
      <c r="J46" s="553">
        <f>ROUND('geg ZO'!K68*VLOOKUP($F46,categoriePersVSO,5,FALSE),0)</f>
        <v>0</v>
      </c>
      <c r="K46" s="553">
        <f>ROUND('geg ZO'!L68*VLOOKUP($F46,categoriePersVSO,5,FALSE),0)</f>
        <v>0</v>
      </c>
      <c r="L46" s="553">
        <f>ROUND('geg ZO'!M68*VLOOKUP($F46,categoriePersVSO,5,FALSE),0)</f>
        <v>0</v>
      </c>
      <c r="M46" s="553">
        <f>ROUND('geg ZO'!N68*VLOOKUP($F46,categoriePersVSO,5,FALSE),0)</f>
        <v>0</v>
      </c>
      <c r="N46" s="553">
        <f>ROUND('geg ZO'!O68*VLOOKUP($F46,categoriePersVSO,5,FALSE),0)</f>
        <v>0</v>
      </c>
      <c r="O46" s="35"/>
      <c r="P46" s="25"/>
    </row>
    <row r="47" spans="2:31" x14ac:dyDescent="0.2">
      <c r="B47" s="21"/>
      <c r="C47" s="35"/>
      <c r="D47" s="603" t="str">
        <f>'geg ZO'!D71</f>
        <v>School 2</v>
      </c>
      <c r="E47" s="35"/>
      <c r="F47" s="35" t="str">
        <f>IF('geg ZO'!F71=1,"categorie 1",IF('geg ZO'!F71=2,"categorie 2","categorie 3"))</f>
        <v>categorie 1</v>
      </c>
      <c r="G47" s="71"/>
      <c r="H47" s="35"/>
      <c r="I47" s="553">
        <f>ROUND('geg ZO'!J71*VLOOKUP($F47,categoriePersVSO,5,FALSE),0)</f>
        <v>0</v>
      </c>
      <c r="J47" s="553">
        <f>ROUND('geg ZO'!K71*VLOOKUP($F47,categoriePersVSO,5,FALSE),0)</f>
        <v>0</v>
      </c>
      <c r="K47" s="553">
        <f>ROUND('geg ZO'!L71*VLOOKUP($F47,categoriePersVSO,5,FALSE),0)</f>
        <v>0</v>
      </c>
      <c r="L47" s="553">
        <f>ROUND('geg ZO'!M71*VLOOKUP($F47,categoriePersVSO,5,FALSE),0)</f>
        <v>0</v>
      </c>
      <c r="M47" s="553">
        <f>ROUND('geg ZO'!N71*VLOOKUP($F47,categoriePersVSO,5,FALSE),0)</f>
        <v>0</v>
      </c>
      <c r="N47" s="553">
        <f>ROUND('geg ZO'!O71*VLOOKUP($F47,categoriePersVSO,5,FALSE),0)</f>
        <v>0</v>
      </c>
      <c r="O47" s="35"/>
      <c r="P47" s="25"/>
    </row>
    <row r="48" spans="2:31" x14ac:dyDescent="0.2">
      <c r="B48" s="29"/>
      <c r="C48" s="190"/>
      <c r="D48" s="191" t="s">
        <v>25</v>
      </c>
      <c r="E48" s="35"/>
      <c r="F48" s="35" t="str">
        <f>IF('geg ZO'!F72=1,"categorie 1",IF('geg ZO'!F72=2,"categorie 2","categorie 3"))</f>
        <v>categorie 2</v>
      </c>
      <c r="G48" s="71"/>
      <c r="H48" s="35"/>
      <c r="I48" s="553">
        <f>ROUND('geg ZO'!J72*VLOOKUP($F48,categoriePersVSO,5,FALSE),0)</f>
        <v>0</v>
      </c>
      <c r="J48" s="553">
        <f>ROUND('geg ZO'!K72*VLOOKUP($F48,categoriePersVSO,5,FALSE),0)</f>
        <v>0</v>
      </c>
      <c r="K48" s="553">
        <f>ROUND('geg ZO'!L72*VLOOKUP($F48,categoriePersVSO,5,FALSE),0)</f>
        <v>0</v>
      </c>
      <c r="L48" s="553">
        <f>ROUND('geg ZO'!M72*VLOOKUP($F48,categoriePersVSO,5,FALSE),0)</f>
        <v>0</v>
      </c>
      <c r="M48" s="553">
        <f>ROUND('geg ZO'!N72*VLOOKUP($F48,categoriePersVSO,5,FALSE),0)</f>
        <v>0</v>
      </c>
      <c r="N48" s="553">
        <f>ROUND('geg ZO'!O72*VLOOKUP($F48,categoriePersVSO,5,FALSE),0)</f>
        <v>0</v>
      </c>
      <c r="O48" s="190"/>
      <c r="P48" s="30"/>
    </row>
    <row r="49" spans="2:16" x14ac:dyDescent="0.2">
      <c r="B49" s="29"/>
      <c r="C49" s="190"/>
      <c r="D49" s="191"/>
      <c r="E49" s="35"/>
      <c r="F49" s="35" t="str">
        <f>IF('geg ZO'!F73=1,"categorie 1",IF('geg ZO'!F73=2,"categorie 2","categorie 3"))</f>
        <v>categorie 3</v>
      </c>
      <c r="G49" s="71"/>
      <c r="H49" s="35"/>
      <c r="I49" s="553">
        <f>ROUND('geg ZO'!J73*VLOOKUP($F49,categoriePersVSO,5,FALSE),0)</f>
        <v>0</v>
      </c>
      <c r="J49" s="553">
        <f>ROUND('geg ZO'!K73*VLOOKUP($F49,categoriePersVSO,5,FALSE),0)</f>
        <v>0</v>
      </c>
      <c r="K49" s="553">
        <f>ROUND('geg ZO'!L73*VLOOKUP($F49,categoriePersVSO,5,FALSE),0)</f>
        <v>0</v>
      </c>
      <c r="L49" s="553">
        <f>ROUND('geg ZO'!M73*VLOOKUP($F49,categoriePersVSO,5,FALSE),0)</f>
        <v>0</v>
      </c>
      <c r="M49" s="553">
        <f>ROUND('geg ZO'!N73*VLOOKUP($F49,categoriePersVSO,5,FALSE),0)</f>
        <v>0</v>
      </c>
      <c r="N49" s="553">
        <f>ROUND('geg ZO'!O73*VLOOKUP($F49,categoriePersVSO,5,FALSE),0)</f>
        <v>0</v>
      </c>
      <c r="O49" s="190"/>
      <c r="P49" s="30"/>
    </row>
    <row r="50" spans="2:16" x14ac:dyDescent="0.2">
      <c r="B50" s="29"/>
      <c r="C50" s="190"/>
      <c r="D50" s="603" t="str">
        <f>'geg ZO'!D76</f>
        <v>School 3</v>
      </c>
      <c r="E50" s="35"/>
      <c r="F50" s="35" t="str">
        <f>IF('geg ZO'!F76=1,"categorie 1",IF('geg ZO'!F76=2,"categorie 2","categorie 3"))</f>
        <v>categorie 1</v>
      </c>
      <c r="G50" s="71"/>
      <c r="H50" s="35"/>
      <c r="I50" s="553">
        <f>ROUND('geg ZO'!J76*VLOOKUP($F50,categoriePersVSO,5,FALSE),0)</f>
        <v>0</v>
      </c>
      <c r="J50" s="553">
        <f>ROUND('geg ZO'!K76*VLOOKUP($F50,categoriePersVSO,5,FALSE),0)</f>
        <v>0</v>
      </c>
      <c r="K50" s="553">
        <f>ROUND('geg ZO'!L76*VLOOKUP($F50,categoriePersVSO,5,FALSE),0)</f>
        <v>0</v>
      </c>
      <c r="L50" s="553">
        <f>ROUND('geg ZO'!M76*VLOOKUP($F50,categoriePersVSO,5,FALSE),0)</f>
        <v>0</v>
      </c>
      <c r="M50" s="553">
        <f>ROUND('geg ZO'!N76*VLOOKUP($F50,categoriePersVSO,5,FALSE),0)</f>
        <v>0</v>
      </c>
      <c r="N50" s="553">
        <f>ROUND('geg ZO'!O76*VLOOKUP($F50,categoriePersVSO,5,FALSE),0)</f>
        <v>0</v>
      </c>
      <c r="O50" s="190"/>
      <c r="P50" s="30"/>
    </row>
    <row r="51" spans="2:16" x14ac:dyDescent="0.2">
      <c r="B51" s="29"/>
      <c r="C51" s="190"/>
      <c r="D51" s="191" t="s">
        <v>25</v>
      </c>
      <c r="E51" s="35"/>
      <c r="F51" s="35" t="str">
        <f>IF('geg ZO'!F77=1,"categorie 1",IF('geg ZO'!F77=2,"categorie 2","categorie 3"))</f>
        <v>categorie 2</v>
      </c>
      <c r="G51" s="71"/>
      <c r="H51" s="35"/>
      <c r="I51" s="553">
        <f>ROUND('geg ZO'!J77*VLOOKUP($F51,categoriePersVSO,5,FALSE),0)</f>
        <v>0</v>
      </c>
      <c r="J51" s="553">
        <f>ROUND('geg ZO'!K77*VLOOKUP($F51,categoriePersVSO,5,FALSE),0)</f>
        <v>0</v>
      </c>
      <c r="K51" s="553">
        <f>ROUND('geg ZO'!L77*VLOOKUP($F51,categoriePersVSO,5,FALSE),0)</f>
        <v>0</v>
      </c>
      <c r="L51" s="553">
        <f>ROUND('geg ZO'!M77*VLOOKUP($F51,categoriePersVSO,5,FALSE),0)</f>
        <v>0</v>
      </c>
      <c r="M51" s="553">
        <f>ROUND('geg ZO'!N77*VLOOKUP($F51,categoriePersVSO,5,FALSE),0)</f>
        <v>0</v>
      </c>
      <c r="N51" s="553">
        <f>ROUND('geg ZO'!O77*VLOOKUP($F51,categoriePersVSO,5,FALSE),0)</f>
        <v>0</v>
      </c>
      <c r="O51" s="190"/>
      <c r="P51" s="30"/>
    </row>
    <row r="52" spans="2:16" x14ac:dyDescent="0.2">
      <c r="B52" s="29"/>
      <c r="C52" s="190"/>
      <c r="D52" s="191"/>
      <c r="E52" s="35"/>
      <c r="F52" s="35" t="str">
        <f>IF('geg ZO'!F78=1,"categorie 1",IF('geg ZO'!F78=2,"categorie 2","categorie 3"))</f>
        <v>categorie 3</v>
      </c>
      <c r="G52" s="71"/>
      <c r="H52" s="35"/>
      <c r="I52" s="553">
        <f>ROUND('geg ZO'!J78*VLOOKUP($F52,categoriePersVSO,5,FALSE),0)</f>
        <v>0</v>
      </c>
      <c r="J52" s="553">
        <f>ROUND('geg ZO'!K78*VLOOKUP($F52,categoriePersVSO,5,FALSE),0)</f>
        <v>0</v>
      </c>
      <c r="K52" s="553">
        <f>ROUND('geg ZO'!L78*VLOOKUP($F52,categoriePersVSO,5,FALSE),0)</f>
        <v>0</v>
      </c>
      <c r="L52" s="553">
        <f>ROUND('geg ZO'!M78*VLOOKUP($F52,categoriePersVSO,5,FALSE),0)</f>
        <v>0</v>
      </c>
      <c r="M52" s="553">
        <f>ROUND('geg ZO'!N78*VLOOKUP($F52,categoriePersVSO,5,FALSE),0)</f>
        <v>0</v>
      </c>
      <c r="N52" s="553">
        <f>ROUND('geg ZO'!O78*VLOOKUP($F52,categoriePersVSO,5,FALSE),0)</f>
        <v>0</v>
      </c>
      <c r="O52" s="190"/>
      <c r="P52" s="30"/>
    </row>
    <row r="53" spans="2:16" x14ac:dyDescent="0.2">
      <c r="B53" s="21"/>
      <c r="C53" s="35"/>
      <c r="D53" s="603" t="str">
        <f>'geg ZO'!D81</f>
        <v>School 4</v>
      </c>
      <c r="E53" s="35"/>
      <c r="F53" s="35" t="str">
        <f>IF('geg ZO'!F81=1,"categorie 1",IF('geg ZO'!F81=2,"categorie 2","categorie 3"))</f>
        <v>categorie 1</v>
      </c>
      <c r="G53" s="71"/>
      <c r="H53" s="35"/>
      <c r="I53" s="553">
        <f>ROUND('geg ZO'!J81*VLOOKUP($F53,categoriePersVSO,5,FALSE),0)</f>
        <v>0</v>
      </c>
      <c r="J53" s="553">
        <f>ROUND('geg ZO'!K81*VLOOKUP($F53,categoriePersVSO,5,FALSE),0)</f>
        <v>0</v>
      </c>
      <c r="K53" s="553">
        <f>ROUND('geg ZO'!L81*VLOOKUP($F53,categoriePersVSO,5,FALSE),0)</f>
        <v>0</v>
      </c>
      <c r="L53" s="553">
        <f>ROUND('geg ZO'!M81*VLOOKUP($F53,categoriePersVSO,5,FALSE),0)</f>
        <v>0</v>
      </c>
      <c r="M53" s="553">
        <f>ROUND('geg ZO'!N81*VLOOKUP($F53,categoriePersVSO,5,FALSE),0)</f>
        <v>0</v>
      </c>
      <c r="N53" s="553">
        <f>ROUND('geg ZO'!O81*VLOOKUP($F53,categoriePersVSO,5,FALSE),0)</f>
        <v>0</v>
      </c>
      <c r="O53" s="35"/>
      <c r="P53" s="25"/>
    </row>
    <row r="54" spans="2:16" x14ac:dyDescent="0.2">
      <c r="B54" s="21"/>
      <c r="C54" s="35"/>
      <c r="D54" s="191" t="s">
        <v>25</v>
      </c>
      <c r="E54" s="35"/>
      <c r="F54" s="35" t="str">
        <f>IF('geg ZO'!F82=1,"categorie 1",IF('geg ZO'!F82=2,"categorie 2","categorie 3"))</f>
        <v>categorie 2</v>
      </c>
      <c r="G54" s="71"/>
      <c r="H54" s="35"/>
      <c r="I54" s="553">
        <f>ROUND('geg ZO'!J82*VLOOKUP($F54,categoriePersVSO,5,FALSE),0)</f>
        <v>0</v>
      </c>
      <c r="J54" s="553">
        <f>ROUND('geg ZO'!K82*VLOOKUP($F54,categoriePersVSO,5,FALSE),0)</f>
        <v>0</v>
      </c>
      <c r="K54" s="553">
        <f>ROUND('geg ZO'!L82*VLOOKUP($F54,categoriePersVSO,5,FALSE),0)</f>
        <v>0</v>
      </c>
      <c r="L54" s="553">
        <f>ROUND('geg ZO'!M82*VLOOKUP($F54,categoriePersVSO,5,FALSE),0)</f>
        <v>0</v>
      </c>
      <c r="M54" s="553">
        <f>ROUND('geg ZO'!N82*VLOOKUP($F54,categoriePersVSO,5,FALSE),0)</f>
        <v>0</v>
      </c>
      <c r="N54" s="553">
        <f>ROUND('geg ZO'!O82*VLOOKUP($F54,categoriePersVSO,5,FALSE),0)</f>
        <v>0</v>
      </c>
      <c r="O54" s="35"/>
      <c r="P54" s="25"/>
    </row>
    <row r="55" spans="2:16" x14ac:dyDescent="0.2">
      <c r="B55" s="21"/>
      <c r="C55" s="35"/>
      <c r="D55" s="191"/>
      <c r="E55" s="35"/>
      <c r="F55" s="35" t="str">
        <f>IF('geg ZO'!F83=1,"categorie 1",IF('geg ZO'!F83=2,"categorie 2","categorie 3"))</f>
        <v>categorie 3</v>
      </c>
      <c r="G55" s="71"/>
      <c r="H55" s="35"/>
      <c r="I55" s="553">
        <f>ROUND('geg ZO'!J83*VLOOKUP($F55,categoriePersVSO,5,FALSE),0)</f>
        <v>0</v>
      </c>
      <c r="J55" s="553">
        <f>ROUND('geg ZO'!K83*VLOOKUP($F55,categoriePersVSO,5,FALSE),0)</f>
        <v>0</v>
      </c>
      <c r="K55" s="553">
        <f>ROUND('geg ZO'!L83*VLOOKUP($F55,categoriePersVSO,5,FALSE),0)</f>
        <v>0</v>
      </c>
      <c r="L55" s="553">
        <f>ROUND('geg ZO'!M83*VLOOKUP($F55,categoriePersVSO,5,FALSE),0)</f>
        <v>0</v>
      </c>
      <c r="M55" s="553">
        <f>ROUND('geg ZO'!N83*VLOOKUP($F55,categoriePersVSO,5,FALSE),0)</f>
        <v>0</v>
      </c>
      <c r="N55" s="553">
        <f>ROUND('geg ZO'!O83*VLOOKUP($F55,categoriePersVSO,5,FALSE),0)</f>
        <v>0</v>
      </c>
      <c r="O55" s="35"/>
      <c r="P55" s="25"/>
    </row>
    <row r="56" spans="2:16" x14ac:dyDescent="0.2">
      <c r="B56" s="21"/>
      <c r="C56" s="35"/>
      <c r="D56" s="603" t="str">
        <f>'geg ZO'!D86</f>
        <v>School 5</v>
      </c>
      <c r="E56" s="35"/>
      <c r="F56" s="35" t="str">
        <f>IF('geg ZO'!F86=1,"categorie 1",IF('geg ZO'!F86=2,"categorie 2","categorie 3"))</f>
        <v>categorie 1</v>
      </c>
      <c r="G56" s="71"/>
      <c r="H56" s="35"/>
      <c r="I56" s="553">
        <f>ROUND('geg ZO'!J86*VLOOKUP($F56,categoriePersVSO,5,FALSE),0)</f>
        <v>0</v>
      </c>
      <c r="J56" s="553">
        <f>ROUND('geg ZO'!K86*VLOOKUP($F56,categoriePersVSO,5,FALSE),0)</f>
        <v>0</v>
      </c>
      <c r="K56" s="553">
        <f>ROUND('geg ZO'!L86*VLOOKUP($F56,categoriePersVSO,5,FALSE),0)</f>
        <v>0</v>
      </c>
      <c r="L56" s="553">
        <f>ROUND('geg ZO'!M86*VLOOKUP($F56,categoriePersVSO,5,FALSE),0)</f>
        <v>0</v>
      </c>
      <c r="M56" s="553">
        <f>ROUND('geg ZO'!N86*VLOOKUP($F56,categoriePersVSO,5,FALSE),0)</f>
        <v>0</v>
      </c>
      <c r="N56" s="553">
        <f>ROUND('geg ZO'!O86*VLOOKUP($F56,categoriePersVSO,5,FALSE),0)</f>
        <v>0</v>
      </c>
      <c r="O56" s="35"/>
      <c r="P56" s="25"/>
    </row>
    <row r="57" spans="2:16" x14ac:dyDescent="0.2">
      <c r="B57" s="21"/>
      <c r="C57" s="35"/>
      <c r="D57" s="191" t="s">
        <v>25</v>
      </c>
      <c r="E57" s="35"/>
      <c r="F57" s="35" t="str">
        <f>IF('geg ZO'!F87=1,"categorie 1",IF('geg ZO'!F87=2,"categorie 2","categorie 3"))</f>
        <v>categorie 2</v>
      </c>
      <c r="G57" s="71"/>
      <c r="H57" s="35"/>
      <c r="I57" s="553">
        <f>ROUND('geg ZO'!J87*VLOOKUP($F57,categoriePersVSO,5,FALSE),0)</f>
        <v>0</v>
      </c>
      <c r="J57" s="553">
        <f>ROUND('geg ZO'!K87*VLOOKUP($F57,categoriePersVSO,5,FALSE),0)</f>
        <v>0</v>
      </c>
      <c r="K57" s="553">
        <f>ROUND('geg ZO'!L87*VLOOKUP($F57,categoriePersVSO,5,FALSE),0)</f>
        <v>0</v>
      </c>
      <c r="L57" s="553">
        <f>ROUND('geg ZO'!M87*VLOOKUP($F57,categoriePersVSO,5,FALSE),0)</f>
        <v>0</v>
      </c>
      <c r="M57" s="553">
        <f>ROUND('geg ZO'!N87*VLOOKUP($F57,categoriePersVSO,5,FALSE),0)</f>
        <v>0</v>
      </c>
      <c r="N57" s="553">
        <f>ROUND('geg ZO'!O87*VLOOKUP($F57,categoriePersVSO,5,FALSE),0)</f>
        <v>0</v>
      </c>
      <c r="O57" s="35"/>
      <c r="P57" s="25"/>
    </row>
    <row r="58" spans="2:16" x14ac:dyDescent="0.2">
      <c r="B58" s="21"/>
      <c r="C58" s="35"/>
      <c r="D58" s="191"/>
      <c r="E58" s="35"/>
      <c r="F58" s="35" t="str">
        <f>IF('geg ZO'!F88=1,"categorie 1",IF('geg ZO'!F88=2,"categorie 2","categorie 3"))</f>
        <v>categorie 3</v>
      </c>
      <c r="G58" s="71"/>
      <c r="H58" s="35"/>
      <c r="I58" s="553">
        <f>ROUND('geg ZO'!J88*VLOOKUP($F58,categoriePersVSO,5,FALSE),0)</f>
        <v>0</v>
      </c>
      <c r="J58" s="553">
        <f>ROUND('geg ZO'!K88*VLOOKUP($F58,categoriePersVSO,5,FALSE),0)</f>
        <v>0</v>
      </c>
      <c r="K58" s="553">
        <f>ROUND('geg ZO'!L88*VLOOKUP($F58,categoriePersVSO,5,FALSE),0)</f>
        <v>0</v>
      </c>
      <c r="L58" s="553">
        <f>ROUND('geg ZO'!M88*VLOOKUP($F58,categoriePersVSO,5,FALSE),0)</f>
        <v>0</v>
      </c>
      <c r="M58" s="553">
        <f>ROUND('geg ZO'!N88*VLOOKUP($F58,categoriePersVSO,5,FALSE),0)</f>
        <v>0</v>
      </c>
      <c r="N58" s="553">
        <f>ROUND('geg ZO'!O88*VLOOKUP($F58,categoriePersVSO,5,FALSE),0)</f>
        <v>0</v>
      </c>
      <c r="O58" s="35"/>
      <c r="P58" s="25"/>
    </row>
    <row r="59" spans="2:16" x14ac:dyDescent="0.2">
      <c r="B59" s="21"/>
      <c r="C59" s="35"/>
      <c r="D59" s="603" t="str">
        <f>'geg ZO'!D91</f>
        <v>School 6</v>
      </c>
      <c r="E59" s="35"/>
      <c r="F59" s="35" t="str">
        <f>IF('geg ZO'!F91=1,"categorie 1",IF('geg ZO'!F91=2,"categorie 2","categorie 3"))</f>
        <v>categorie 1</v>
      </c>
      <c r="G59" s="71"/>
      <c r="H59" s="35"/>
      <c r="I59" s="553">
        <f>ROUND('geg ZO'!J91*VLOOKUP($F59,categoriePersVSO,5,FALSE),0)</f>
        <v>0</v>
      </c>
      <c r="J59" s="553">
        <f>ROUND('geg ZO'!K91*VLOOKUP($F59,categoriePersVSO,5,FALSE),0)</f>
        <v>0</v>
      </c>
      <c r="K59" s="553">
        <f>ROUND('geg ZO'!L91*VLOOKUP($F59,categoriePersVSO,5,FALSE),0)</f>
        <v>0</v>
      </c>
      <c r="L59" s="553">
        <f>ROUND('geg ZO'!M91*VLOOKUP($F59,categoriePersVSO,5,FALSE),0)</f>
        <v>0</v>
      </c>
      <c r="M59" s="553">
        <f>ROUND('geg ZO'!N91*VLOOKUP($F59,categoriePersVSO,5,FALSE),0)</f>
        <v>0</v>
      </c>
      <c r="N59" s="553">
        <f>ROUND('geg ZO'!O91*VLOOKUP($F59,categoriePersVSO,5,FALSE),0)</f>
        <v>0</v>
      </c>
      <c r="O59" s="35"/>
      <c r="P59" s="25"/>
    </row>
    <row r="60" spans="2:16" x14ac:dyDescent="0.2">
      <c r="B60" s="21"/>
      <c r="C60" s="35"/>
      <c r="D60" s="191" t="s">
        <v>25</v>
      </c>
      <c r="E60" s="35"/>
      <c r="F60" s="35" t="str">
        <f>IF('geg ZO'!F92=1,"categorie 1",IF('geg ZO'!F92=2,"categorie 2","categorie 3"))</f>
        <v>categorie 2</v>
      </c>
      <c r="G60" s="71"/>
      <c r="H60" s="35"/>
      <c r="I60" s="553">
        <f>ROUND('geg ZO'!J92*VLOOKUP($F60,categoriePersVSO,5,FALSE),0)</f>
        <v>0</v>
      </c>
      <c r="J60" s="553">
        <f>ROUND('geg ZO'!K92*VLOOKUP($F60,categoriePersVSO,5,FALSE),0)</f>
        <v>0</v>
      </c>
      <c r="K60" s="553">
        <f>ROUND('geg ZO'!L92*VLOOKUP($F60,categoriePersVSO,5,FALSE),0)</f>
        <v>0</v>
      </c>
      <c r="L60" s="553">
        <f>ROUND('geg ZO'!M92*VLOOKUP($F60,categoriePersVSO,5,FALSE),0)</f>
        <v>0</v>
      </c>
      <c r="M60" s="553">
        <f>ROUND('geg ZO'!N92*VLOOKUP($F60,categoriePersVSO,5,FALSE),0)</f>
        <v>0</v>
      </c>
      <c r="N60" s="553">
        <f>ROUND('geg ZO'!O92*VLOOKUP($F60,categoriePersVSO,5,FALSE),0)</f>
        <v>0</v>
      </c>
      <c r="O60" s="35"/>
      <c r="P60" s="25"/>
    </row>
    <row r="61" spans="2:16" x14ac:dyDescent="0.2">
      <c r="B61" s="21"/>
      <c r="C61" s="35"/>
      <c r="D61" s="191"/>
      <c r="E61" s="35"/>
      <c r="F61" s="35" t="str">
        <f>IF('geg ZO'!F93=1,"categorie 1",IF('geg ZO'!F93=2,"categorie 2","categorie 3"))</f>
        <v>categorie 3</v>
      </c>
      <c r="G61" s="71"/>
      <c r="H61" s="35"/>
      <c r="I61" s="553">
        <f>ROUND('geg ZO'!J93*VLOOKUP($F61,categoriePersVSO,5,FALSE),0)</f>
        <v>0</v>
      </c>
      <c r="J61" s="553">
        <f>ROUND('geg ZO'!K93*VLOOKUP($F61,categoriePersVSO,5,FALSE),0)</f>
        <v>0</v>
      </c>
      <c r="K61" s="553">
        <f>ROUND('geg ZO'!L93*VLOOKUP($F61,categoriePersVSO,5,FALSE),0)</f>
        <v>0</v>
      </c>
      <c r="L61" s="553">
        <f>ROUND('geg ZO'!M93*VLOOKUP($F61,categoriePersVSO,5,FALSE),0)</f>
        <v>0</v>
      </c>
      <c r="M61" s="553">
        <f>ROUND('geg ZO'!N93*VLOOKUP($F61,categoriePersVSO,5,FALSE),0)</f>
        <v>0</v>
      </c>
      <c r="N61" s="553">
        <f>ROUND('geg ZO'!O93*VLOOKUP($F61,categoriePersVSO,5,FALSE),0)</f>
        <v>0</v>
      </c>
      <c r="O61" s="35"/>
      <c r="P61" s="25"/>
    </row>
    <row r="62" spans="2:16" x14ac:dyDescent="0.2">
      <c r="B62" s="21"/>
      <c r="C62" s="35"/>
      <c r="D62" s="603" t="str">
        <f>'geg ZO'!D96</f>
        <v>School 7</v>
      </c>
      <c r="E62" s="35"/>
      <c r="F62" s="35" t="str">
        <f>IF('geg ZO'!F96=1,"categorie 1",IF('geg ZO'!F96=2,"categorie 2","categorie 3"))</f>
        <v>categorie 1</v>
      </c>
      <c r="G62" s="71"/>
      <c r="H62" s="35"/>
      <c r="I62" s="553">
        <f>ROUND('geg ZO'!J96*VLOOKUP($F62,categoriePersVSO,5,FALSE),0)</f>
        <v>0</v>
      </c>
      <c r="J62" s="553">
        <f>ROUND('geg ZO'!K96*VLOOKUP($F62,categoriePersVSO,5,FALSE),0)</f>
        <v>0</v>
      </c>
      <c r="K62" s="553">
        <f>ROUND('geg ZO'!L96*VLOOKUP($F62,categoriePersVSO,5,FALSE),0)</f>
        <v>0</v>
      </c>
      <c r="L62" s="553">
        <f>ROUND('geg ZO'!M96*VLOOKUP($F62,categoriePersVSO,5,FALSE),0)</f>
        <v>0</v>
      </c>
      <c r="M62" s="553">
        <f>ROUND('geg ZO'!N96*VLOOKUP($F62,categoriePersVSO,5,FALSE),0)</f>
        <v>0</v>
      </c>
      <c r="N62" s="553">
        <f>ROUND('geg ZO'!O96*VLOOKUP($F62,categoriePersVSO,5,FALSE),0)</f>
        <v>0</v>
      </c>
      <c r="O62" s="35"/>
      <c r="P62" s="25"/>
    </row>
    <row r="63" spans="2:16" x14ac:dyDescent="0.2">
      <c r="B63" s="21"/>
      <c r="C63" s="35"/>
      <c r="D63" s="191" t="s">
        <v>25</v>
      </c>
      <c r="E63" s="35"/>
      <c r="F63" s="35" t="str">
        <f>IF('geg ZO'!F97=1,"categorie 1",IF('geg ZO'!F97=2,"categorie 2","categorie 3"))</f>
        <v>categorie 2</v>
      </c>
      <c r="G63" s="71"/>
      <c r="H63" s="35"/>
      <c r="I63" s="553">
        <f>ROUND('geg ZO'!J97*VLOOKUP($F63,categoriePersVSO,5,FALSE),0)</f>
        <v>0</v>
      </c>
      <c r="J63" s="553">
        <f>ROUND('geg ZO'!K97*VLOOKUP($F63,categoriePersVSO,5,FALSE),0)</f>
        <v>0</v>
      </c>
      <c r="K63" s="553">
        <f>ROUND('geg ZO'!L97*VLOOKUP($F63,categoriePersVSO,5,FALSE),0)</f>
        <v>0</v>
      </c>
      <c r="L63" s="553">
        <f>ROUND('geg ZO'!M97*VLOOKUP($F63,categoriePersVSO,5,FALSE),0)</f>
        <v>0</v>
      </c>
      <c r="M63" s="553">
        <f>ROUND('geg ZO'!N97*VLOOKUP($F63,categoriePersVSO,5,FALSE),0)</f>
        <v>0</v>
      </c>
      <c r="N63" s="553">
        <f>ROUND('geg ZO'!O97*VLOOKUP($F63,categoriePersVSO,5,FALSE),0)</f>
        <v>0</v>
      </c>
      <c r="O63" s="35"/>
      <c r="P63" s="25"/>
    </row>
    <row r="64" spans="2:16" x14ac:dyDescent="0.2">
      <c r="B64" s="21"/>
      <c r="C64" s="35"/>
      <c r="D64" s="191"/>
      <c r="E64" s="35"/>
      <c r="F64" s="35" t="str">
        <f>IF('geg ZO'!F98=1,"categorie 1",IF('geg ZO'!F98=2,"categorie 2","categorie 3"))</f>
        <v>categorie 3</v>
      </c>
      <c r="G64" s="71"/>
      <c r="H64" s="35"/>
      <c r="I64" s="553">
        <f>ROUND('geg ZO'!J98*VLOOKUP($F64,categoriePersVSO,5,FALSE),0)</f>
        <v>0</v>
      </c>
      <c r="J64" s="553">
        <f>ROUND('geg ZO'!K98*VLOOKUP($F64,categoriePersVSO,5,FALSE),0)</f>
        <v>0</v>
      </c>
      <c r="K64" s="553">
        <f>ROUND('geg ZO'!L98*VLOOKUP($F64,categoriePersVSO,5,FALSE),0)</f>
        <v>0</v>
      </c>
      <c r="L64" s="553">
        <f>ROUND('geg ZO'!M98*VLOOKUP($F64,categoriePersVSO,5,FALSE),0)</f>
        <v>0</v>
      </c>
      <c r="M64" s="553">
        <f>ROUND('geg ZO'!N98*VLOOKUP($F64,categoriePersVSO,5,FALSE),0)</f>
        <v>0</v>
      </c>
      <c r="N64" s="553">
        <f>ROUND('geg ZO'!O98*VLOOKUP($F64,categoriePersVSO,5,FALSE),0)</f>
        <v>0</v>
      </c>
      <c r="O64" s="35"/>
      <c r="P64" s="25"/>
    </row>
    <row r="65" spans="2:16" x14ac:dyDescent="0.2">
      <c r="B65" s="21"/>
      <c r="C65" s="35"/>
      <c r="D65" s="603" t="str">
        <f>'geg ZO'!D101</f>
        <v>School 8</v>
      </c>
      <c r="E65" s="35"/>
      <c r="F65" s="35" t="str">
        <f>IF('geg ZO'!F101=1,"categorie 1",IF('geg ZO'!F101=2,"categorie 2","categorie 3"))</f>
        <v>categorie 1</v>
      </c>
      <c r="G65" s="71"/>
      <c r="H65" s="35"/>
      <c r="I65" s="553">
        <f>ROUND('geg ZO'!J101*VLOOKUP($F65,categoriePersVSO,5,FALSE),0)</f>
        <v>0</v>
      </c>
      <c r="J65" s="553">
        <f>ROUND('geg ZO'!K101*VLOOKUP($F65,categoriePersVSO,5,FALSE),0)</f>
        <v>0</v>
      </c>
      <c r="K65" s="553">
        <f>ROUND('geg ZO'!L101*VLOOKUP($F65,categoriePersVSO,5,FALSE),0)</f>
        <v>0</v>
      </c>
      <c r="L65" s="553">
        <f>ROUND('geg ZO'!M101*VLOOKUP($F65,categoriePersVSO,5,FALSE),0)</f>
        <v>0</v>
      </c>
      <c r="M65" s="553">
        <f>ROUND('geg ZO'!N101*VLOOKUP($F65,categoriePersVSO,5,FALSE),0)</f>
        <v>0</v>
      </c>
      <c r="N65" s="553">
        <f>ROUND('geg ZO'!O101*VLOOKUP($F65,categoriePersVSO,5,FALSE),0)</f>
        <v>0</v>
      </c>
      <c r="O65" s="35"/>
      <c r="P65" s="25"/>
    </row>
    <row r="66" spans="2:16" x14ac:dyDescent="0.2">
      <c r="B66" s="21"/>
      <c r="C66" s="35"/>
      <c r="D66" s="191" t="s">
        <v>25</v>
      </c>
      <c r="E66" s="35"/>
      <c r="F66" s="35" t="str">
        <f>IF('geg ZO'!F102=1,"categorie 1",IF('geg ZO'!F102=2,"categorie 2","categorie 3"))</f>
        <v>categorie 2</v>
      </c>
      <c r="G66" s="71"/>
      <c r="H66" s="35"/>
      <c r="I66" s="553">
        <f>ROUND('geg ZO'!J102*VLOOKUP($F66,categoriePersVSO,5,FALSE),0)</f>
        <v>0</v>
      </c>
      <c r="J66" s="553">
        <f>ROUND('geg ZO'!K102*VLOOKUP($F66,categoriePersVSO,5,FALSE),0)</f>
        <v>0</v>
      </c>
      <c r="K66" s="553">
        <f>ROUND('geg ZO'!L102*VLOOKUP($F66,categoriePersVSO,5,FALSE),0)</f>
        <v>0</v>
      </c>
      <c r="L66" s="553">
        <f>ROUND('geg ZO'!M102*VLOOKUP($F66,categoriePersVSO,5,FALSE),0)</f>
        <v>0</v>
      </c>
      <c r="M66" s="553">
        <f>ROUND('geg ZO'!N102*VLOOKUP($F66,categoriePersVSO,5,FALSE),0)</f>
        <v>0</v>
      </c>
      <c r="N66" s="553">
        <f>ROUND('geg ZO'!O102*VLOOKUP($F66,categoriePersVSO,5,FALSE),0)</f>
        <v>0</v>
      </c>
      <c r="O66" s="35"/>
      <c r="P66" s="25"/>
    </row>
    <row r="67" spans="2:16" x14ac:dyDescent="0.2">
      <c r="B67" s="21"/>
      <c r="C67" s="35"/>
      <c r="D67" s="191"/>
      <c r="E67" s="35"/>
      <c r="F67" s="35" t="str">
        <f>IF('geg ZO'!F103=1,"categorie 1",IF('geg ZO'!F103=2,"categorie 2","categorie 3"))</f>
        <v>categorie 3</v>
      </c>
      <c r="G67" s="71"/>
      <c r="H67" s="35"/>
      <c r="I67" s="553">
        <f>ROUND('geg ZO'!J103*VLOOKUP($F67,categoriePersVSO,5,FALSE),0)</f>
        <v>0</v>
      </c>
      <c r="J67" s="553">
        <f>ROUND('geg ZO'!K103*VLOOKUP($F67,categoriePersVSO,5,FALSE),0)</f>
        <v>0</v>
      </c>
      <c r="K67" s="553">
        <f>ROUND('geg ZO'!L103*VLOOKUP($F67,categoriePersVSO,5,FALSE),0)</f>
        <v>0</v>
      </c>
      <c r="L67" s="553">
        <f>ROUND('geg ZO'!M103*VLOOKUP($F67,categoriePersVSO,5,FALSE),0)</f>
        <v>0</v>
      </c>
      <c r="M67" s="553">
        <f>ROUND('geg ZO'!N103*VLOOKUP($F67,categoriePersVSO,5,FALSE),0)</f>
        <v>0</v>
      </c>
      <c r="N67" s="553">
        <f>ROUND('geg ZO'!O103*VLOOKUP($F67,categoriePersVSO,5,FALSE),0)</f>
        <v>0</v>
      </c>
      <c r="O67" s="35"/>
      <c r="P67" s="25"/>
    </row>
    <row r="68" spans="2:16" x14ac:dyDescent="0.2">
      <c r="B68" s="21"/>
      <c r="C68" s="35"/>
      <c r="D68" s="603" t="str">
        <f>'geg ZO'!D106</f>
        <v>School 9</v>
      </c>
      <c r="E68" s="35"/>
      <c r="F68" s="35" t="str">
        <f>IF('geg ZO'!F106=1,"categorie 1",IF('geg ZO'!F106=2,"categorie 2","categorie 3"))</f>
        <v>categorie 1</v>
      </c>
      <c r="G68" s="71"/>
      <c r="H68" s="35"/>
      <c r="I68" s="553">
        <f>ROUND('geg ZO'!J106*VLOOKUP($F68,categoriePersVSO,5,FALSE),0)</f>
        <v>0</v>
      </c>
      <c r="J68" s="553">
        <f>ROUND('geg ZO'!K106*VLOOKUP($F68,categoriePersVSO,5,FALSE),0)</f>
        <v>0</v>
      </c>
      <c r="K68" s="553">
        <f>ROUND('geg ZO'!L106*VLOOKUP($F68,categoriePersVSO,5,FALSE),0)</f>
        <v>0</v>
      </c>
      <c r="L68" s="553">
        <f>ROUND('geg ZO'!M106*VLOOKUP($F68,categoriePersVSO,5,FALSE),0)</f>
        <v>0</v>
      </c>
      <c r="M68" s="553">
        <f>ROUND('geg ZO'!N106*VLOOKUP($F68,categoriePersVSO,5,FALSE),0)</f>
        <v>0</v>
      </c>
      <c r="N68" s="553">
        <f>ROUND('geg ZO'!O106*VLOOKUP($F68,categoriePersVSO,5,FALSE),0)</f>
        <v>0</v>
      </c>
      <c r="O68" s="35"/>
      <c r="P68" s="25"/>
    </row>
    <row r="69" spans="2:16" x14ac:dyDescent="0.2">
      <c r="B69" s="21"/>
      <c r="C69" s="35"/>
      <c r="D69" s="191" t="s">
        <v>25</v>
      </c>
      <c r="E69" s="35"/>
      <c r="F69" s="35" t="str">
        <f>IF('geg ZO'!F107=1,"categorie 1",IF('geg ZO'!F107=2,"categorie 2","categorie 3"))</f>
        <v>categorie 2</v>
      </c>
      <c r="G69" s="71"/>
      <c r="H69" s="35"/>
      <c r="I69" s="553">
        <f>ROUND('geg ZO'!J107*VLOOKUP($F69,categoriePersVSO,5,FALSE),0)</f>
        <v>0</v>
      </c>
      <c r="J69" s="553">
        <f>ROUND('geg ZO'!K107*VLOOKUP($F69,categoriePersVSO,5,FALSE),0)</f>
        <v>0</v>
      </c>
      <c r="K69" s="553">
        <f>ROUND('geg ZO'!L107*VLOOKUP($F69,categoriePersVSO,5,FALSE),0)</f>
        <v>0</v>
      </c>
      <c r="L69" s="553">
        <f>ROUND('geg ZO'!M107*VLOOKUP($F69,categoriePersVSO,5,FALSE),0)</f>
        <v>0</v>
      </c>
      <c r="M69" s="553">
        <f>ROUND('geg ZO'!N107*VLOOKUP($F69,categoriePersVSO,5,FALSE),0)</f>
        <v>0</v>
      </c>
      <c r="N69" s="553">
        <f>ROUND('geg ZO'!O107*VLOOKUP($F69,categoriePersVSO,5,FALSE),0)</f>
        <v>0</v>
      </c>
      <c r="O69" s="35"/>
      <c r="P69" s="25"/>
    </row>
    <row r="70" spans="2:16" x14ac:dyDescent="0.2">
      <c r="B70" s="21"/>
      <c r="C70" s="35"/>
      <c r="D70" s="191"/>
      <c r="E70" s="35"/>
      <c r="F70" s="35" t="str">
        <f>IF('geg ZO'!F108=1,"categorie 1",IF('geg ZO'!F108=2,"categorie 2","categorie 3"))</f>
        <v>categorie 3</v>
      </c>
      <c r="G70" s="71"/>
      <c r="H70" s="35"/>
      <c r="I70" s="553">
        <f>ROUND('geg ZO'!J108*VLOOKUP($F70,categoriePersVSO,5,FALSE),0)</f>
        <v>0</v>
      </c>
      <c r="J70" s="553">
        <f>ROUND('geg ZO'!K108*VLOOKUP($F70,categoriePersVSO,5,FALSE),0)</f>
        <v>0</v>
      </c>
      <c r="K70" s="553">
        <f>ROUND('geg ZO'!L108*VLOOKUP($F70,categoriePersVSO,5,FALSE),0)</f>
        <v>0</v>
      </c>
      <c r="L70" s="553">
        <f>ROUND('geg ZO'!M108*VLOOKUP($F70,categoriePersVSO,5,FALSE),0)</f>
        <v>0</v>
      </c>
      <c r="M70" s="553">
        <f>ROUND('geg ZO'!N108*VLOOKUP($F70,categoriePersVSO,5,FALSE),0)</f>
        <v>0</v>
      </c>
      <c r="N70" s="553">
        <f>ROUND('geg ZO'!O108*VLOOKUP($F70,categoriePersVSO,5,FALSE),0)</f>
        <v>0</v>
      </c>
      <c r="O70" s="35"/>
      <c r="P70" s="25"/>
    </row>
    <row r="71" spans="2:16" x14ac:dyDescent="0.2">
      <c r="B71" s="21"/>
      <c r="C71" s="35"/>
      <c r="D71" s="603" t="str">
        <f>'geg ZO'!D111</f>
        <v>School 10</v>
      </c>
      <c r="E71" s="35"/>
      <c r="F71" s="35" t="str">
        <f>IF('geg ZO'!F111=1,"categorie 1",IF('geg ZO'!F111=2,"categorie 2","categorie 3"))</f>
        <v>categorie 1</v>
      </c>
      <c r="G71" s="71"/>
      <c r="H71" s="35"/>
      <c r="I71" s="553">
        <f>ROUND('geg ZO'!J111*VLOOKUP($F71,categoriePersVSO,5,FALSE),0)</f>
        <v>0</v>
      </c>
      <c r="J71" s="553">
        <f>ROUND('geg ZO'!K111*VLOOKUP($F71,categoriePersVSO,5,FALSE),0)</f>
        <v>0</v>
      </c>
      <c r="K71" s="553">
        <f>ROUND('geg ZO'!L111*VLOOKUP($F71,categoriePersVSO,5,FALSE),0)</f>
        <v>0</v>
      </c>
      <c r="L71" s="553">
        <f>ROUND('geg ZO'!M111*VLOOKUP($F71,categoriePersVSO,5,FALSE),0)</f>
        <v>0</v>
      </c>
      <c r="M71" s="553">
        <f>ROUND('geg ZO'!N111*VLOOKUP($F71,categoriePersVSO,5,FALSE),0)</f>
        <v>0</v>
      </c>
      <c r="N71" s="553">
        <f>ROUND('geg ZO'!O111*VLOOKUP($F71,categoriePersVSO,5,FALSE),0)</f>
        <v>0</v>
      </c>
      <c r="O71" s="35"/>
      <c r="P71" s="25"/>
    </row>
    <row r="72" spans="2:16" x14ac:dyDescent="0.2">
      <c r="B72" s="21"/>
      <c r="C72" s="35"/>
      <c r="D72" s="191" t="s">
        <v>25</v>
      </c>
      <c r="E72" s="35"/>
      <c r="F72" s="35" t="str">
        <f>IF('geg ZO'!F112=1,"categorie 1",IF('geg ZO'!F112=2,"categorie 2","categorie 3"))</f>
        <v>categorie 2</v>
      </c>
      <c r="G72" s="71"/>
      <c r="H72" s="35"/>
      <c r="I72" s="553">
        <f>ROUND('geg ZO'!J112*VLOOKUP($F72,categoriePersVSO,5,FALSE),0)</f>
        <v>0</v>
      </c>
      <c r="J72" s="553">
        <f>ROUND('geg ZO'!K112*VLOOKUP($F72,categoriePersVSO,5,FALSE),0)</f>
        <v>0</v>
      </c>
      <c r="K72" s="553">
        <f>ROUND('geg ZO'!L112*VLOOKUP($F72,categoriePersVSO,5,FALSE),0)</f>
        <v>0</v>
      </c>
      <c r="L72" s="553">
        <f>ROUND('geg ZO'!M112*VLOOKUP($F72,categoriePersVSO,5,FALSE),0)</f>
        <v>0</v>
      </c>
      <c r="M72" s="553">
        <f>ROUND('geg ZO'!N112*VLOOKUP($F72,categoriePersVSO,5,FALSE),0)</f>
        <v>0</v>
      </c>
      <c r="N72" s="553">
        <f>ROUND('geg ZO'!O112*VLOOKUP($F72,categoriePersVSO,5,FALSE),0)</f>
        <v>0</v>
      </c>
      <c r="O72" s="35"/>
      <c r="P72" s="25"/>
    </row>
    <row r="73" spans="2:16" x14ac:dyDescent="0.2">
      <c r="B73" s="21"/>
      <c r="C73" s="35"/>
      <c r="D73" s="191"/>
      <c r="E73" s="35"/>
      <c r="F73" s="35" t="str">
        <f>IF('geg ZO'!F113=1,"categorie 1",IF('geg ZO'!F113=2,"categorie 2","categorie 3"))</f>
        <v>categorie 3</v>
      </c>
      <c r="G73" s="71"/>
      <c r="H73" s="35"/>
      <c r="I73" s="553">
        <f>ROUND('geg ZO'!J113*VLOOKUP($F73,categoriePersVSO,5,FALSE),0)</f>
        <v>0</v>
      </c>
      <c r="J73" s="553">
        <f>ROUND('geg ZO'!K113*VLOOKUP($F73,categoriePersVSO,5,FALSE),0)</f>
        <v>0</v>
      </c>
      <c r="K73" s="553">
        <f>ROUND('geg ZO'!L113*VLOOKUP($F73,categoriePersVSO,5,FALSE),0)</f>
        <v>0</v>
      </c>
      <c r="L73" s="553">
        <f>ROUND('geg ZO'!M113*VLOOKUP($F73,categoriePersVSO,5,FALSE),0)</f>
        <v>0</v>
      </c>
      <c r="M73" s="553">
        <f>ROUND('geg ZO'!N113*VLOOKUP($F73,categoriePersVSO,5,FALSE),0)</f>
        <v>0</v>
      </c>
      <c r="N73" s="553">
        <f>ROUND('geg ZO'!O113*VLOOKUP($F73,categoriePersVSO,5,FALSE),0)</f>
        <v>0</v>
      </c>
      <c r="O73" s="35"/>
      <c r="P73" s="25"/>
    </row>
    <row r="74" spans="2:16" x14ac:dyDescent="0.2">
      <c r="B74" s="21"/>
      <c r="C74" s="35"/>
      <c r="D74" s="603" t="str">
        <f>'geg ZO'!D116</f>
        <v>School 11</v>
      </c>
      <c r="E74" s="35"/>
      <c r="F74" s="35" t="str">
        <f>IF('geg ZO'!F116=1,"categorie 1",IF('geg ZO'!F116=2,"categorie 2","categorie 3"))</f>
        <v>categorie 1</v>
      </c>
      <c r="G74" s="71"/>
      <c r="H74" s="35"/>
      <c r="I74" s="553">
        <f>ROUND('geg ZO'!J116*VLOOKUP($F74,categoriePersVSO,5,FALSE),0)</f>
        <v>0</v>
      </c>
      <c r="J74" s="553">
        <f>ROUND('geg ZO'!K116*VLOOKUP($F74,categoriePersVSO,5,FALSE),0)</f>
        <v>0</v>
      </c>
      <c r="K74" s="553">
        <f>ROUND('geg ZO'!L116*VLOOKUP($F74,categoriePersVSO,5,FALSE),0)</f>
        <v>0</v>
      </c>
      <c r="L74" s="553">
        <f>ROUND('geg ZO'!M116*VLOOKUP($F74,categoriePersVSO,5,FALSE),0)</f>
        <v>0</v>
      </c>
      <c r="M74" s="553">
        <f>ROUND('geg ZO'!N116*VLOOKUP($F74,categoriePersVSO,5,FALSE),0)</f>
        <v>0</v>
      </c>
      <c r="N74" s="553">
        <f>ROUND('geg ZO'!O116*VLOOKUP($F74,categoriePersVSO,5,FALSE),0)</f>
        <v>0</v>
      </c>
      <c r="O74" s="35"/>
      <c r="P74" s="25"/>
    </row>
    <row r="75" spans="2:16" x14ac:dyDescent="0.2">
      <c r="B75" s="21"/>
      <c r="C75" s="35"/>
      <c r="D75" s="191" t="s">
        <v>25</v>
      </c>
      <c r="E75" s="35"/>
      <c r="F75" s="35" t="str">
        <f>IF('geg ZO'!F117=1,"categorie 1",IF('geg ZO'!F117=2,"categorie 2","categorie 3"))</f>
        <v>categorie 2</v>
      </c>
      <c r="G75" s="71"/>
      <c r="H75" s="35"/>
      <c r="I75" s="553">
        <f>ROUND('geg ZO'!J117*VLOOKUP($F75,categoriePersVSO,5,FALSE),0)</f>
        <v>0</v>
      </c>
      <c r="J75" s="553">
        <f>ROUND('geg ZO'!K117*VLOOKUP($F75,categoriePersVSO,5,FALSE),0)</f>
        <v>0</v>
      </c>
      <c r="K75" s="553">
        <f>ROUND('geg ZO'!L117*VLOOKUP($F75,categoriePersVSO,5,FALSE),0)</f>
        <v>0</v>
      </c>
      <c r="L75" s="553">
        <f>ROUND('geg ZO'!M117*VLOOKUP($F75,categoriePersVSO,5,FALSE),0)</f>
        <v>0</v>
      </c>
      <c r="M75" s="553">
        <f>ROUND('geg ZO'!N117*VLOOKUP($F75,categoriePersVSO,5,FALSE),0)</f>
        <v>0</v>
      </c>
      <c r="N75" s="553">
        <f>ROUND('geg ZO'!O117*VLOOKUP($F75,categoriePersVSO,5,FALSE),0)</f>
        <v>0</v>
      </c>
      <c r="O75" s="35"/>
      <c r="P75" s="25"/>
    </row>
    <row r="76" spans="2:16" x14ac:dyDescent="0.2">
      <c r="B76" s="21"/>
      <c r="C76" s="35"/>
      <c r="D76" s="191"/>
      <c r="E76" s="35"/>
      <c r="F76" s="35" t="str">
        <f>IF('geg ZO'!F118=1,"categorie 1",IF('geg ZO'!F118=2,"categorie 2","categorie 3"))</f>
        <v>categorie 3</v>
      </c>
      <c r="G76" s="71"/>
      <c r="H76" s="35"/>
      <c r="I76" s="553">
        <f>ROUND('geg ZO'!J118*VLOOKUP($F76,categoriePersVSO,5,FALSE),0)</f>
        <v>0</v>
      </c>
      <c r="J76" s="553">
        <f>ROUND('geg ZO'!K118*VLOOKUP($F76,categoriePersVSO,5,FALSE),0)</f>
        <v>0</v>
      </c>
      <c r="K76" s="553">
        <f>ROUND('geg ZO'!L118*VLOOKUP($F76,categoriePersVSO,5,FALSE),0)</f>
        <v>0</v>
      </c>
      <c r="L76" s="553">
        <f>ROUND('geg ZO'!M118*VLOOKUP($F76,categoriePersVSO,5,FALSE),0)</f>
        <v>0</v>
      </c>
      <c r="M76" s="553">
        <f>ROUND('geg ZO'!N118*VLOOKUP($F76,categoriePersVSO,5,FALSE),0)</f>
        <v>0</v>
      </c>
      <c r="N76" s="553">
        <f>ROUND('geg ZO'!O118*VLOOKUP($F76,categoriePersVSO,5,FALSE),0)</f>
        <v>0</v>
      </c>
      <c r="O76" s="35"/>
      <c r="P76" s="25"/>
    </row>
    <row r="77" spans="2:16" x14ac:dyDescent="0.2">
      <c r="B77" s="21"/>
      <c r="C77" s="35"/>
      <c r="D77" s="603" t="str">
        <f>'geg ZO'!D121</f>
        <v>School 12</v>
      </c>
      <c r="E77" s="35"/>
      <c r="F77" s="35" t="str">
        <f>IF('geg ZO'!F121=1,"categorie 1",IF('geg ZO'!F121=2,"categorie 2","categorie 3"))</f>
        <v>categorie 1</v>
      </c>
      <c r="G77" s="71"/>
      <c r="H77" s="35"/>
      <c r="I77" s="553">
        <f>ROUND('geg ZO'!J121*VLOOKUP($F77,categoriePersVSO,5,FALSE),0)</f>
        <v>0</v>
      </c>
      <c r="J77" s="553">
        <f>ROUND('geg ZO'!K121*VLOOKUP($F77,categoriePersVSO,5,FALSE),0)</f>
        <v>0</v>
      </c>
      <c r="K77" s="553">
        <f>ROUND('geg ZO'!L121*VLOOKUP($F77,categoriePersVSO,5,FALSE),0)</f>
        <v>0</v>
      </c>
      <c r="L77" s="553">
        <f>ROUND('geg ZO'!M121*VLOOKUP($F77,categoriePersVSO,5,FALSE),0)</f>
        <v>0</v>
      </c>
      <c r="M77" s="553">
        <f>ROUND('geg ZO'!N121*VLOOKUP($F77,categoriePersVSO,5,FALSE),0)</f>
        <v>0</v>
      </c>
      <c r="N77" s="553">
        <f>ROUND('geg ZO'!O121*VLOOKUP($F77,categoriePersVSO,5,FALSE),0)</f>
        <v>0</v>
      </c>
      <c r="O77" s="35"/>
      <c r="P77" s="25"/>
    </row>
    <row r="78" spans="2:16" x14ac:dyDescent="0.2">
      <c r="B78" s="21"/>
      <c r="C78" s="35"/>
      <c r="D78" s="191" t="s">
        <v>25</v>
      </c>
      <c r="E78" s="35"/>
      <c r="F78" s="35" t="str">
        <f>IF('geg ZO'!F122=1,"categorie 1",IF('geg ZO'!F122=2,"categorie 2","categorie 3"))</f>
        <v>categorie 2</v>
      </c>
      <c r="G78" s="71"/>
      <c r="H78" s="35"/>
      <c r="I78" s="553">
        <f>ROUND('geg ZO'!J122*VLOOKUP($F78,categoriePersVSO,5,FALSE),0)</f>
        <v>0</v>
      </c>
      <c r="J78" s="553">
        <f>ROUND('geg ZO'!K122*VLOOKUP($F78,categoriePersVSO,5,FALSE),0)</f>
        <v>0</v>
      </c>
      <c r="K78" s="553">
        <f>ROUND('geg ZO'!L122*VLOOKUP($F78,categoriePersVSO,5,FALSE),0)</f>
        <v>0</v>
      </c>
      <c r="L78" s="553">
        <f>ROUND('geg ZO'!M122*VLOOKUP($F78,categoriePersVSO,5,FALSE),0)</f>
        <v>0</v>
      </c>
      <c r="M78" s="553">
        <f>ROUND('geg ZO'!N122*VLOOKUP($F78,categoriePersVSO,5,FALSE),0)</f>
        <v>0</v>
      </c>
      <c r="N78" s="553">
        <f>ROUND('geg ZO'!O122*VLOOKUP($F78,categoriePersVSO,5,FALSE),0)</f>
        <v>0</v>
      </c>
      <c r="O78" s="35"/>
      <c r="P78" s="25"/>
    </row>
    <row r="79" spans="2:16" x14ac:dyDescent="0.2">
      <c r="B79" s="21"/>
      <c r="C79" s="35"/>
      <c r="D79" s="191"/>
      <c r="E79" s="35"/>
      <c r="F79" s="35" t="str">
        <f>IF('geg ZO'!F123=1,"categorie 1",IF('geg ZO'!F123=2,"categorie 2","categorie 3"))</f>
        <v>categorie 3</v>
      </c>
      <c r="G79" s="71"/>
      <c r="H79" s="35"/>
      <c r="I79" s="553">
        <f>ROUND('geg ZO'!J123*VLOOKUP($F79,categoriePersVSO,5,FALSE),0)</f>
        <v>0</v>
      </c>
      <c r="J79" s="553">
        <f>ROUND('geg ZO'!K123*VLOOKUP($F79,categoriePersVSO,5,FALSE),0)</f>
        <v>0</v>
      </c>
      <c r="K79" s="553">
        <f>ROUND('geg ZO'!L123*VLOOKUP($F79,categoriePersVSO,5,FALSE),0)</f>
        <v>0</v>
      </c>
      <c r="L79" s="553">
        <f>ROUND('geg ZO'!M123*VLOOKUP($F79,categoriePersVSO,5,FALSE),0)</f>
        <v>0</v>
      </c>
      <c r="M79" s="553">
        <f>ROUND('geg ZO'!N123*VLOOKUP($F79,categoriePersVSO,5,FALSE),0)</f>
        <v>0</v>
      </c>
      <c r="N79" s="553">
        <f>ROUND('geg ZO'!O123*VLOOKUP($F79,categoriePersVSO,5,FALSE),0)</f>
        <v>0</v>
      </c>
      <c r="O79" s="35"/>
      <c r="P79" s="25"/>
    </row>
    <row r="80" spans="2:16" x14ac:dyDescent="0.2">
      <c r="B80" s="21"/>
      <c r="C80" s="35"/>
      <c r="D80" s="603" t="str">
        <f>'geg ZO'!D126</f>
        <v>School 13</v>
      </c>
      <c r="E80" s="35"/>
      <c r="F80" s="35" t="str">
        <f>IF('geg ZO'!F126=1,"categorie 1",IF('geg ZO'!F126=2,"categorie 2","categorie 3"))</f>
        <v>categorie 1</v>
      </c>
      <c r="G80" s="71"/>
      <c r="H80" s="35"/>
      <c r="I80" s="553">
        <f>ROUND('geg ZO'!J126*VLOOKUP($F80,categoriePersVSO,5,FALSE),0)</f>
        <v>0</v>
      </c>
      <c r="J80" s="553">
        <f>ROUND('geg ZO'!K126*VLOOKUP($F80,categoriePersVSO,5,FALSE),0)</f>
        <v>0</v>
      </c>
      <c r="K80" s="553">
        <f>ROUND('geg ZO'!L126*VLOOKUP($F80,categoriePersVSO,5,FALSE),0)</f>
        <v>0</v>
      </c>
      <c r="L80" s="553">
        <f>ROUND('geg ZO'!M126*VLOOKUP($F80,categoriePersVSO,5,FALSE),0)</f>
        <v>0</v>
      </c>
      <c r="M80" s="553">
        <f>ROUND('geg ZO'!N126*VLOOKUP($F80,categoriePersVSO,5,FALSE),0)</f>
        <v>0</v>
      </c>
      <c r="N80" s="553">
        <f>ROUND('geg ZO'!O126*VLOOKUP($F80,categoriePersVSO,5,FALSE),0)</f>
        <v>0</v>
      </c>
      <c r="O80" s="35"/>
      <c r="P80" s="25"/>
    </row>
    <row r="81" spans="2:31" x14ac:dyDescent="0.2">
      <c r="B81" s="21"/>
      <c r="C81" s="35"/>
      <c r="D81" s="191" t="s">
        <v>25</v>
      </c>
      <c r="E81" s="35"/>
      <c r="F81" s="35" t="str">
        <f>IF('geg ZO'!F127=1,"categorie 1",IF('geg ZO'!F127=2,"categorie 2","categorie 3"))</f>
        <v>categorie 2</v>
      </c>
      <c r="G81" s="71"/>
      <c r="H81" s="35"/>
      <c r="I81" s="553">
        <f>ROUND('geg ZO'!J127*VLOOKUP($F81,categoriePersVSO,5,FALSE),0)</f>
        <v>0</v>
      </c>
      <c r="J81" s="553">
        <f>ROUND('geg ZO'!K127*VLOOKUP($F81,categoriePersVSO,5,FALSE),0)</f>
        <v>0</v>
      </c>
      <c r="K81" s="553">
        <f>ROUND('geg ZO'!L127*VLOOKUP($F81,categoriePersVSO,5,FALSE),0)</f>
        <v>0</v>
      </c>
      <c r="L81" s="553">
        <f>ROUND('geg ZO'!M127*VLOOKUP($F81,categoriePersVSO,5,FALSE),0)</f>
        <v>0</v>
      </c>
      <c r="M81" s="553">
        <f>ROUND('geg ZO'!N127*VLOOKUP($F81,categoriePersVSO,5,FALSE),0)</f>
        <v>0</v>
      </c>
      <c r="N81" s="553">
        <f>ROUND('geg ZO'!O127*VLOOKUP($F81,categoriePersVSO,5,FALSE),0)</f>
        <v>0</v>
      </c>
      <c r="O81" s="35"/>
      <c r="P81" s="25"/>
    </row>
    <row r="82" spans="2:31" x14ac:dyDescent="0.2">
      <c r="B82" s="21"/>
      <c r="C82" s="35"/>
      <c r="D82" s="191"/>
      <c r="E82" s="35"/>
      <c r="F82" s="35" t="str">
        <f>IF('geg ZO'!F128=1,"categorie 1",IF('geg ZO'!F128=2,"categorie 2","categorie 3"))</f>
        <v>categorie 3</v>
      </c>
      <c r="G82" s="71"/>
      <c r="H82" s="35"/>
      <c r="I82" s="553">
        <f>ROUND('geg ZO'!J128*VLOOKUP($F82,categoriePersVSO,5,FALSE),0)</f>
        <v>0</v>
      </c>
      <c r="J82" s="553">
        <f>ROUND('geg ZO'!K128*VLOOKUP($F82,categoriePersVSO,5,FALSE),0)</f>
        <v>0</v>
      </c>
      <c r="K82" s="553">
        <f>ROUND('geg ZO'!L128*VLOOKUP($F82,categoriePersVSO,5,FALSE),0)</f>
        <v>0</v>
      </c>
      <c r="L82" s="553">
        <f>ROUND('geg ZO'!M128*VLOOKUP($F82,categoriePersVSO,5,FALSE),0)</f>
        <v>0</v>
      </c>
      <c r="M82" s="553">
        <f>ROUND('geg ZO'!N128*VLOOKUP($F82,categoriePersVSO,5,FALSE),0)</f>
        <v>0</v>
      </c>
      <c r="N82" s="553">
        <f>ROUND('geg ZO'!O128*VLOOKUP($F82,categoriePersVSO,5,FALSE),0)</f>
        <v>0</v>
      </c>
      <c r="O82" s="35"/>
      <c r="P82" s="25"/>
    </row>
    <row r="83" spans="2:31" x14ac:dyDescent="0.2">
      <c r="B83" s="21"/>
      <c r="C83" s="35"/>
      <c r="D83" s="603" t="str">
        <f>'geg ZO'!D131</f>
        <v>School 14</v>
      </c>
      <c r="E83" s="35"/>
      <c r="F83" s="35" t="str">
        <f>IF('geg ZO'!F131=1,"categorie 1",IF('geg ZO'!F131=2,"categorie 2","categorie 3"))</f>
        <v>categorie 1</v>
      </c>
      <c r="G83" s="71"/>
      <c r="H83" s="35"/>
      <c r="I83" s="553">
        <f>ROUND('geg ZO'!J131*VLOOKUP($F83,categoriePersVSO,5,FALSE),0)</f>
        <v>0</v>
      </c>
      <c r="J83" s="553">
        <f>ROUND('geg ZO'!K131*VLOOKUP($F83,categoriePersVSO,5,FALSE),0)</f>
        <v>0</v>
      </c>
      <c r="K83" s="553">
        <f>ROUND('geg ZO'!L131*VLOOKUP($F83,categoriePersVSO,5,FALSE),0)</f>
        <v>0</v>
      </c>
      <c r="L83" s="553">
        <f>ROUND('geg ZO'!M131*VLOOKUP($F83,categoriePersVSO,5,FALSE),0)</f>
        <v>0</v>
      </c>
      <c r="M83" s="553">
        <f>ROUND('geg ZO'!N131*VLOOKUP($F83,categoriePersVSO,5,FALSE),0)</f>
        <v>0</v>
      </c>
      <c r="N83" s="553">
        <f>ROUND('geg ZO'!O131*VLOOKUP($F83,categoriePersVSO,5,FALSE),0)</f>
        <v>0</v>
      </c>
      <c r="O83" s="35"/>
      <c r="P83" s="25"/>
    </row>
    <row r="84" spans="2:31" x14ac:dyDescent="0.2">
      <c r="B84" s="21"/>
      <c r="C84" s="35"/>
      <c r="D84" s="191" t="s">
        <v>25</v>
      </c>
      <c r="E84" s="35"/>
      <c r="F84" s="35" t="str">
        <f>IF('geg ZO'!F132=1,"categorie 1",IF('geg ZO'!F132=2,"categorie 2","categorie 3"))</f>
        <v>categorie 2</v>
      </c>
      <c r="G84" s="71"/>
      <c r="H84" s="35"/>
      <c r="I84" s="553">
        <f>ROUND('geg ZO'!J132*VLOOKUP($F84,categoriePersVSO,5,FALSE),0)</f>
        <v>0</v>
      </c>
      <c r="J84" s="553">
        <f>ROUND('geg ZO'!K132*VLOOKUP($F84,categoriePersVSO,5,FALSE),0)</f>
        <v>0</v>
      </c>
      <c r="K84" s="553">
        <f>ROUND('geg ZO'!L132*VLOOKUP($F84,categoriePersVSO,5,FALSE),0)</f>
        <v>0</v>
      </c>
      <c r="L84" s="553">
        <f>ROUND('geg ZO'!M132*VLOOKUP($F84,categoriePersVSO,5,FALSE),0)</f>
        <v>0</v>
      </c>
      <c r="M84" s="553">
        <f>ROUND('geg ZO'!N132*VLOOKUP($F84,categoriePersVSO,5,FALSE),0)</f>
        <v>0</v>
      </c>
      <c r="N84" s="553">
        <f>ROUND('geg ZO'!O132*VLOOKUP($F84,categoriePersVSO,5,FALSE),0)</f>
        <v>0</v>
      </c>
      <c r="O84" s="35"/>
      <c r="P84" s="25"/>
    </row>
    <row r="85" spans="2:31" x14ac:dyDescent="0.2">
      <c r="B85" s="21"/>
      <c r="C85" s="35"/>
      <c r="D85" s="191"/>
      <c r="E85" s="35"/>
      <c r="F85" s="35" t="str">
        <f>IF('geg ZO'!F133=1,"categorie 1",IF('geg ZO'!F133=2,"categorie 2","categorie 3"))</f>
        <v>categorie 3</v>
      </c>
      <c r="G85" s="71"/>
      <c r="H85" s="35"/>
      <c r="I85" s="553">
        <f>ROUND('geg ZO'!J133*VLOOKUP($F85,categoriePersVSO,5,FALSE),0)</f>
        <v>0</v>
      </c>
      <c r="J85" s="553">
        <f>ROUND('geg ZO'!K133*VLOOKUP($F85,categoriePersVSO,5,FALSE),0)</f>
        <v>0</v>
      </c>
      <c r="K85" s="553">
        <f>ROUND('geg ZO'!L133*VLOOKUP($F85,categoriePersVSO,5,FALSE),0)</f>
        <v>0</v>
      </c>
      <c r="L85" s="553">
        <f>ROUND('geg ZO'!M133*VLOOKUP($F85,categoriePersVSO,5,FALSE),0)</f>
        <v>0</v>
      </c>
      <c r="M85" s="553">
        <f>ROUND('geg ZO'!N133*VLOOKUP($F85,categoriePersVSO,5,FALSE),0)</f>
        <v>0</v>
      </c>
      <c r="N85" s="553">
        <f>ROUND('geg ZO'!O133*VLOOKUP($F85,categoriePersVSO,5,FALSE),0)</f>
        <v>0</v>
      </c>
      <c r="O85" s="35"/>
      <c r="P85" s="25"/>
    </row>
    <row r="86" spans="2:31" x14ac:dyDescent="0.2">
      <c r="B86" s="21"/>
      <c r="C86" s="35"/>
      <c r="D86" s="603" t="str">
        <f>'geg ZO'!D136</f>
        <v>School 15</v>
      </c>
      <c r="E86" s="35"/>
      <c r="F86" s="35" t="str">
        <f>IF('geg ZO'!F136=1,"categorie 1",IF('geg ZO'!F136=2,"categorie 2","categorie 3"))</f>
        <v>categorie 1</v>
      </c>
      <c r="G86" s="71"/>
      <c r="H86" s="35"/>
      <c r="I86" s="553">
        <f>ROUND('geg ZO'!J136*VLOOKUP($F86,categoriePersVSO,5,FALSE),0)</f>
        <v>0</v>
      </c>
      <c r="J86" s="553">
        <f>ROUND('geg ZO'!K136*VLOOKUP($F86,categoriePersVSO,5,FALSE),0)</f>
        <v>0</v>
      </c>
      <c r="K86" s="553">
        <f>ROUND('geg ZO'!L136*VLOOKUP($F86,categoriePersVSO,5,FALSE),0)</f>
        <v>0</v>
      </c>
      <c r="L86" s="553">
        <f>ROUND('geg ZO'!M136*VLOOKUP($F86,categoriePersVSO,5,FALSE),0)</f>
        <v>0</v>
      </c>
      <c r="M86" s="553">
        <f>ROUND('geg ZO'!N136*VLOOKUP($F86,categoriePersVSO,5,FALSE),0)</f>
        <v>0</v>
      </c>
      <c r="N86" s="553">
        <f>ROUND('geg ZO'!O136*VLOOKUP($F86,categoriePersVSO,5,FALSE),0)</f>
        <v>0</v>
      </c>
      <c r="O86" s="35"/>
      <c r="P86" s="25"/>
    </row>
    <row r="87" spans="2:31" x14ac:dyDescent="0.2">
      <c r="B87" s="21"/>
      <c r="C87" s="35"/>
      <c r="D87" s="191" t="s">
        <v>25</v>
      </c>
      <c r="E87" s="35"/>
      <c r="F87" s="35" t="str">
        <f>IF('geg ZO'!F137=1,"categorie 1",IF('geg ZO'!F137=2,"categorie 2","categorie 3"))</f>
        <v>categorie 2</v>
      </c>
      <c r="G87" s="71"/>
      <c r="H87" s="35"/>
      <c r="I87" s="553">
        <f>ROUND('geg ZO'!J137*VLOOKUP($F87,categoriePersVSO,5,FALSE),0)</f>
        <v>0</v>
      </c>
      <c r="J87" s="553">
        <f>ROUND('geg ZO'!K137*VLOOKUP($F87,categoriePersVSO,5,FALSE),0)</f>
        <v>0</v>
      </c>
      <c r="K87" s="553">
        <f>ROUND('geg ZO'!L137*VLOOKUP($F87,categoriePersVSO,5,FALSE),0)</f>
        <v>0</v>
      </c>
      <c r="L87" s="553">
        <f>ROUND('geg ZO'!M137*VLOOKUP($F87,categoriePersVSO,5,FALSE),0)</f>
        <v>0</v>
      </c>
      <c r="M87" s="553">
        <f>ROUND('geg ZO'!N137*VLOOKUP($F87,categoriePersVSO,5,FALSE),0)</f>
        <v>0</v>
      </c>
      <c r="N87" s="553">
        <f>ROUND('geg ZO'!O137*VLOOKUP($F87,categoriePersVSO,5,FALSE),0)</f>
        <v>0</v>
      </c>
      <c r="O87" s="35"/>
      <c r="P87" s="25"/>
    </row>
    <row r="88" spans="2:31" x14ac:dyDescent="0.2">
      <c r="B88" s="21"/>
      <c r="C88" s="35"/>
      <c r="D88" s="191"/>
      <c r="E88" s="35"/>
      <c r="F88" s="35" t="str">
        <f>IF('geg ZO'!F138=1,"categorie 1",IF('geg ZO'!F138=2,"categorie 2","categorie 3"))</f>
        <v>categorie 3</v>
      </c>
      <c r="G88" s="71"/>
      <c r="H88" s="35"/>
      <c r="I88" s="553">
        <f>ROUND('geg ZO'!J138*VLOOKUP($F88,categoriePersVSO,5,FALSE),0)</f>
        <v>0</v>
      </c>
      <c r="J88" s="553">
        <f>ROUND('geg ZO'!K138*VLOOKUP($F88,categoriePersVSO,5,FALSE),0)</f>
        <v>0</v>
      </c>
      <c r="K88" s="553">
        <f>ROUND('geg ZO'!L138*VLOOKUP($F88,categoriePersVSO,5,FALSE),0)</f>
        <v>0</v>
      </c>
      <c r="L88" s="553">
        <f>ROUND('geg ZO'!M138*VLOOKUP($F88,categoriePersVSO,5,FALSE),0)</f>
        <v>0</v>
      </c>
      <c r="M88" s="553">
        <f>ROUND('geg ZO'!N138*VLOOKUP($F88,categoriePersVSO,5,FALSE),0)</f>
        <v>0</v>
      </c>
      <c r="N88" s="553">
        <f>ROUND('geg ZO'!O138*VLOOKUP($F88,categoriePersVSO,5,FALSE),0)</f>
        <v>0</v>
      </c>
      <c r="O88" s="35"/>
      <c r="P88" s="25"/>
      <c r="R88" s="848"/>
      <c r="S88" s="848"/>
      <c r="T88" s="848"/>
      <c r="U88" s="848"/>
      <c r="V88" s="848"/>
      <c r="W88" s="848"/>
      <c r="X88" s="848"/>
      <c r="Y88" s="848"/>
      <c r="Z88" s="848"/>
      <c r="AA88" s="848"/>
      <c r="AB88" s="848"/>
      <c r="AC88" s="848"/>
      <c r="AD88" s="848"/>
      <c r="AE88" s="848"/>
    </row>
    <row r="89" spans="2:31" x14ac:dyDescent="0.2">
      <c r="B89" s="21"/>
      <c r="C89" s="35"/>
      <c r="D89" s="603" t="str">
        <f>+'geg ZO'!D141</f>
        <v>School 16</v>
      </c>
      <c r="E89" s="35"/>
      <c r="F89" s="35" t="str">
        <f>IF('geg ZO'!F141=1,"categorie 1",IF('geg ZO'!F141=2,"categorie 2","categorie 3"))</f>
        <v>categorie 1</v>
      </c>
      <c r="G89" s="71"/>
      <c r="H89" s="35"/>
      <c r="I89" s="553">
        <f>ROUND('geg ZO'!J141*VLOOKUP($F89,categoriePersVSO,5,FALSE),0)</f>
        <v>0</v>
      </c>
      <c r="J89" s="553">
        <f>ROUND('geg ZO'!K141*VLOOKUP($F89,categoriePersVSO,5,FALSE),0)</f>
        <v>0</v>
      </c>
      <c r="K89" s="553">
        <f>ROUND('geg ZO'!L141*VLOOKUP($F89,categoriePersVSO,5,FALSE),0)</f>
        <v>0</v>
      </c>
      <c r="L89" s="553">
        <f>ROUND('geg ZO'!M141*VLOOKUP($F89,categoriePersVSO,5,FALSE),0)</f>
        <v>0</v>
      </c>
      <c r="M89" s="553">
        <f>ROUND('geg ZO'!N141*VLOOKUP($F89,categoriePersVSO,5,FALSE),0)</f>
        <v>0</v>
      </c>
      <c r="N89" s="553">
        <f>ROUND('geg ZO'!O141*VLOOKUP($F89,categoriePersVSO,5,FALSE),0)</f>
        <v>0</v>
      </c>
      <c r="O89" s="35"/>
      <c r="P89" s="25"/>
      <c r="R89" s="848"/>
      <c r="S89" s="848"/>
      <c r="T89" s="848"/>
      <c r="U89" s="848"/>
      <c r="V89" s="848"/>
      <c r="W89" s="848"/>
      <c r="X89" s="848"/>
      <c r="Y89" s="848"/>
      <c r="Z89" s="848"/>
      <c r="AA89" s="848"/>
      <c r="AB89" s="848"/>
      <c r="AC89" s="848"/>
      <c r="AD89" s="848"/>
      <c r="AE89" s="848"/>
    </row>
    <row r="90" spans="2:31" x14ac:dyDescent="0.2">
      <c r="B90" s="21"/>
      <c r="C90" s="35"/>
      <c r="D90" s="191"/>
      <c r="E90" s="35"/>
      <c r="F90" s="35" t="str">
        <f>IF('geg ZO'!F142=1,"categorie 1",IF('geg ZO'!F142=2,"categorie 2","categorie 3"))</f>
        <v>categorie 2</v>
      </c>
      <c r="G90" s="71"/>
      <c r="H90" s="35"/>
      <c r="I90" s="553">
        <f>ROUND('geg ZO'!J142*VLOOKUP($F90,categoriePersVSO,5,FALSE),0)</f>
        <v>0</v>
      </c>
      <c r="J90" s="553">
        <f>ROUND('geg ZO'!K142*VLOOKUP($F90,categoriePersVSO,5,FALSE),0)</f>
        <v>0</v>
      </c>
      <c r="K90" s="553">
        <f>ROUND('geg ZO'!L142*VLOOKUP($F90,categoriePersVSO,5,FALSE),0)</f>
        <v>0</v>
      </c>
      <c r="L90" s="553">
        <f>ROUND('geg ZO'!M142*VLOOKUP($F90,categoriePersVSO,5,FALSE),0)</f>
        <v>0</v>
      </c>
      <c r="M90" s="553">
        <f>ROUND('geg ZO'!N142*VLOOKUP($F90,categoriePersVSO,5,FALSE),0)</f>
        <v>0</v>
      </c>
      <c r="N90" s="553">
        <f>ROUND('geg ZO'!O142*VLOOKUP($F90,categoriePersVSO,5,FALSE),0)</f>
        <v>0</v>
      </c>
      <c r="O90" s="35"/>
      <c r="P90" s="25"/>
      <c r="R90" s="848"/>
      <c r="S90" s="848"/>
      <c r="T90" s="848"/>
      <c r="U90" s="848"/>
      <c r="V90" s="848"/>
      <c r="W90" s="848"/>
      <c r="X90" s="848"/>
      <c r="Y90" s="848"/>
      <c r="Z90" s="848"/>
      <c r="AA90" s="848"/>
      <c r="AB90" s="848"/>
      <c r="AC90" s="848"/>
      <c r="AD90" s="848"/>
      <c r="AE90" s="848"/>
    </row>
    <row r="91" spans="2:31" x14ac:dyDescent="0.2">
      <c r="B91" s="21"/>
      <c r="C91" s="35"/>
      <c r="D91" s="191"/>
      <c r="E91" s="35"/>
      <c r="F91" s="35" t="str">
        <f>IF('geg ZO'!F143=1,"categorie 1",IF('geg ZO'!F143=2,"categorie 2","categorie 3"))</f>
        <v>categorie 3</v>
      </c>
      <c r="G91" s="71"/>
      <c r="H91" s="35"/>
      <c r="I91" s="553">
        <f>ROUND('geg ZO'!J143*VLOOKUP($F91,categoriePersVSO,5,FALSE),0)</f>
        <v>0</v>
      </c>
      <c r="J91" s="553">
        <f>ROUND('geg ZO'!K143*VLOOKUP($F91,categoriePersVSO,5,FALSE),0)</f>
        <v>0</v>
      </c>
      <c r="K91" s="553">
        <f>ROUND('geg ZO'!L143*VLOOKUP($F91,categoriePersVSO,5,FALSE),0)</f>
        <v>0</v>
      </c>
      <c r="L91" s="553">
        <f>ROUND('geg ZO'!M143*VLOOKUP($F91,categoriePersVSO,5,FALSE),0)</f>
        <v>0</v>
      </c>
      <c r="M91" s="553">
        <f>ROUND('geg ZO'!N143*VLOOKUP($F91,categoriePersVSO,5,FALSE),0)</f>
        <v>0</v>
      </c>
      <c r="N91" s="553">
        <f>ROUND('geg ZO'!O143*VLOOKUP($F91,categoriePersVSO,5,FALSE),0)</f>
        <v>0</v>
      </c>
      <c r="O91" s="35"/>
      <c r="P91" s="25"/>
      <c r="R91" s="848"/>
      <c r="S91" s="848"/>
      <c r="T91" s="848"/>
      <c r="U91" s="848"/>
      <c r="V91" s="848"/>
      <c r="W91" s="848"/>
      <c r="X91" s="848"/>
      <c r="Y91" s="848"/>
      <c r="Z91" s="848"/>
      <c r="AA91" s="848"/>
      <c r="AB91" s="848"/>
      <c r="AC91" s="848"/>
      <c r="AD91" s="848"/>
      <c r="AE91" s="848"/>
    </row>
    <row r="92" spans="2:31" x14ac:dyDescent="0.2">
      <c r="B92" s="21"/>
      <c r="C92" s="35"/>
      <c r="D92" s="603" t="str">
        <f>+'geg ZO'!D146</f>
        <v>School 17</v>
      </c>
      <c r="E92" s="35"/>
      <c r="F92" s="35" t="str">
        <f>IF('geg ZO'!F146=1,"categorie 1",IF('geg ZO'!F146=2,"categorie 2","categorie 3"))</f>
        <v>categorie 1</v>
      </c>
      <c r="G92" s="71"/>
      <c r="H92" s="35"/>
      <c r="I92" s="553">
        <f>ROUND('geg ZO'!J146*VLOOKUP($F92,categoriePersVSO,5,FALSE),0)</f>
        <v>0</v>
      </c>
      <c r="J92" s="553">
        <f>ROUND('geg ZO'!K146*VLOOKUP($F92,categoriePersVSO,5,FALSE),0)</f>
        <v>0</v>
      </c>
      <c r="K92" s="553">
        <f>ROUND('geg ZO'!L146*VLOOKUP($F92,categoriePersVSO,5,FALSE),0)</f>
        <v>0</v>
      </c>
      <c r="L92" s="553">
        <f>ROUND('geg ZO'!M146*VLOOKUP($F92,categoriePersVSO,5,FALSE),0)</f>
        <v>0</v>
      </c>
      <c r="M92" s="553">
        <f>ROUND('geg ZO'!N146*VLOOKUP($F92,categoriePersVSO,5,FALSE),0)</f>
        <v>0</v>
      </c>
      <c r="N92" s="553">
        <f>ROUND('geg ZO'!O146*VLOOKUP($F92,categoriePersVSO,5,FALSE),0)</f>
        <v>0</v>
      </c>
      <c r="O92" s="35"/>
      <c r="P92" s="25"/>
      <c r="R92" s="848"/>
      <c r="S92" s="848"/>
      <c r="T92" s="848"/>
      <c r="U92" s="848"/>
      <c r="V92" s="848"/>
      <c r="W92" s="848"/>
      <c r="X92" s="848"/>
      <c r="Y92" s="848"/>
      <c r="Z92" s="848"/>
      <c r="AA92" s="848"/>
      <c r="AB92" s="848"/>
      <c r="AC92" s="848"/>
      <c r="AD92" s="848"/>
      <c r="AE92" s="848"/>
    </row>
    <row r="93" spans="2:31" x14ac:dyDescent="0.2">
      <c r="B93" s="21"/>
      <c r="C93" s="35"/>
      <c r="D93" s="191"/>
      <c r="E93" s="35"/>
      <c r="F93" s="35" t="str">
        <f>IF('geg ZO'!F147=1,"categorie 1",IF('geg ZO'!F147=2,"categorie 2","categorie 3"))</f>
        <v>categorie 2</v>
      </c>
      <c r="G93" s="71"/>
      <c r="H93" s="35"/>
      <c r="I93" s="553">
        <f>ROUND('geg ZO'!J147*VLOOKUP($F93,categoriePersVSO,5,FALSE),0)</f>
        <v>0</v>
      </c>
      <c r="J93" s="553">
        <f>ROUND('geg ZO'!K147*VLOOKUP($F93,categoriePersVSO,5,FALSE),0)</f>
        <v>0</v>
      </c>
      <c r="K93" s="553">
        <f>ROUND('geg ZO'!L147*VLOOKUP($F93,categoriePersVSO,5,FALSE),0)</f>
        <v>0</v>
      </c>
      <c r="L93" s="553">
        <f>ROUND('geg ZO'!M147*VLOOKUP($F93,categoriePersVSO,5,FALSE),0)</f>
        <v>0</v>
      </c>
      <c r="M93" s="553">
        <f>ROUND('geg ZO'!N147*VLOOKUP($F93,categoriePersVSO,5,FALSE),0)</f>
        <v>0</v>
      </c>
      <c r="N93" s="553">
        <f>ROUND('geg ZO'!O147*VLOOKUP($F93,categoriePersVSO,5,FALSE),0)</f>
        <v>0</v>
      </c>
      <c r="O93" s="35"/>
      <c r="P93" s="25"/>
      <c r="R93" s="848"/>
      <c r="S93" s="848"/>
      <c r="T93" s="848"/>
      <c r="U93" s="848"/>
      <c r="V93" s="848"/>
      <c r="W93" s="848"/>
      <c r="X93" s="848"/>
      <c r="Y93" s="848"/>
      <c r="Z93" s="848"/>
      <c r="AA93" s="848"/>
      <c r="AB93" s="848"/>
      <c r="AC93" s="848"/>
      <c r="AD93" s="848"/>
      <c r="AE93" s="848"/>
    </row>
    <row r="94" spans="2:31" x14ac:dyDescent="0.2">
      <c r="B94" s="21"/>
      <c r="C94" s="35"/>
      <c r="D94" s="191"/>
      <c r="E94" s="35"/>
      <c r="F94" s="35" t="str">
        <f>IF('geg ZO'!F148=1,"categorie 1",IF('geg ZO'!F148=2,"categorie 2","categorie 3"))</f>
        <v>categorie 3</v>
      </c>
      <c r="G94" s="71"/>
      <c r="H94" s="35"/>
      <c r="I94" s="553">
        <f>ROUND('geg ZO'!J148*VLOOKUP($F94,categoriePersVSO,5,FALSE),0)</f>
        <v>0</v>
      </c>
      <c r="J94" s="553">
        <f>ROUND('geg ZO'!K148*VLOOKUP($F94,categoriePersVSO,5,FALSE),0)</f>
        <v>0</v>
      </c>
      <c r="K94" s="553">
        <f>ROUND('geg ZO'!L148*VLOOKUP($F94,categoriePersVSO,5,FALSE),0)</f>
        <v>0</v>
      </c>
      <c r="L94" s="553">
        <f>ROUND('geg ZO'!M148*VLOOKUP($F94,categoriePersVSO,5,FALSE),0)</f>
        <v>0</v>
      </c>
      <c r="M94" s="553">
        <f>ROUND('geg ZO'!N148*VLOOKUP($F94,categoriePersVSO,5,FALSE),0)</f>
        <v>0</v>
      </c>
      <c r="N94" s="553">
        <f>ROUND('geg ZO'!O148*VLOOKUP($F94,categoriePersVSO,5,FALSE),0)</f>
        <v>0</v>
      </c>
      <c r="O94" s="35"/>
      <c r="P94" s="25"/>
      <c r="R94" s="848"/>
      <c r="S94" s="848"/>
      <c r="T94" s="848"/>
      <c r="U94" s="848"/>
      <c r="V94" s="848"/>
      <c r="W94" s="848"/>
      <c r="X94" s="848"/>
      <c r="Y94" s="848"/>
      <c r="Z94" s="848"/>
      <c r="AA94" s="848"/>
      <c r="AB94" s="848"/>
      <c r="AC94" s="848"/>
      <c r="AD94" s="848"/>
      <c r="AE94" s="848"/>
    </row>
    <row r="95" spans="2:31" x14ac:dyDescent="0.2">
      <c r="B95" s="21"/>
      <c r="C95" s="35"/>
      <c r="D95" s="603" t="str">
        <f>+'geg ZO'!D151</f>
        <v>School 18</v>
      </c>
      <c r="E95" s="35"/>
      <c r="F95" s="35" t="str">
        <f>IF('geg ZO'!F151=1,"categorie 1",IF('geg ZO'!F151=2,"categorie 2","categorie 3"))</f>
        <v>categorie 1</v>
      </c>
      <c r="G95" s="71"/>
      <c r="H95" s="35"/>
      <c r="I95" s="553">
        <f>ROUND('geg ZO'!J151*VLOOKUP($F95,categoriePersVSO,5,FALSE),0)</f>
        <v>0</v>
      </c>
      <c r="J95" s="553">
        <f>ROUND('geg ZO'!K151*VLOOKUP($F95,categoriePersVSO,5,FALSE),0)</f>
        <v>0</v>
      </c>
      <c r="K95" s="553">
        <f>ROUND('geg ZO'!L151*VLOOKUP($F95,categoriePersVSO,5,FALSE),0)</f>
        <v>0</v>
      </c>
      <c r="L95" s="553">
        <f>ROUND('geg ZO'!M151*VLOOKUP($F95,categoriePersVSO,5,FALSE),0)</f>
        <v>0</v>
      </c>
      <c r="M95" s="553">
        <f>ROUND('geg ZO'!N151*VLOOKUP($F95,categoriePersVSO,5,FALSE),0)</f>
        <v>0</v>
      </c>
      <c r="N95" s="553">
        <f>ROUND('geg ZO'!O151*VLOOKUP($F95,categoriePersVSO,5,FALSE),0)</f>
        <v>0</v>
      </c>
      <c r="O95" s="35"/>
      <c r="P95" s="25"/>
      <c r="R95" s="848"/>
      <c r="S95" s="848"/>
      <c r="T95" s="848"/>
      <c r="U95" s="848"/>
      <c r="V95" s="848"/>
      <c r="W95" s="848"/>
      <c r="X95" s="848"/>
      <c r="Y95" s="848"/>
      <c r="Z95" s="848"/>
      <c r="AA95" s="848"/>
      <c r="AB95" s="848"/>
      <c r="AC95" s="848"/>
      <c r="AD95" s="848"/>
      <c r="AE95" s="848"/>
    </row>
    <row r="96" spans="2:31" x14ac:dyDescent="0.2">
      <c r="B96" s="21"/>
      <c r="C96" s="35"/>
      <c r="D96" s="191"/>
      <c r="E96" s="35"/>
      <c r="F96" s="35" t="str">
        <f>IF('geg ZO'!F152=1,"categorie 1",IF('geg ZO'!F152=2,"categorie 2","categorie 3"))</f>
        <v>categorie 2</v>
      </c>
      <c r="G96" s="71"/>
      <c r="H96" s="35"/>
      <c r="I96" s="553">
        <f>ROUND('geg ZO'!J152*VLOOKUP($F96,categoriePersVSO,5,FALSE),0)</f>
        <v>0</v>
      </c>
      <c r="J96" s="553">
        <f>ROUND('geg ZO'!K152*VLOOKUP($F96,categoriePersVSO,5,FALSE),0)</f>
        <v>0</v>
      </c>
      <c r="K96" s="553">
        <f>ROUND('geg ZO'!L152*VLOOKUP($F96,categoriePersVSO,5,FALSE),0)</f>
        <v>0</v>
      </c>
      <c r="L96" s="553">
        <f>ROUND('geg ZO'!M152*VLOOKUP($F96,categoriePersVSO,5,FALSE),0)</f>
        <v>0</v>
      </c>
      <c r="M96" s="553">
        <f>ROUND('geg ZO'!N152*VLOOKUP($F96,categoriePersVSO,5,FALSE),0)</f>
        <v>0</v>
      </c>
      <c r="N96" s="553">
        <f>ROUND('geg ZO'!O152*VLOOKUP($F96,categoriePersVSO,5,FALSE),0)</f>
        <v>0</v>
      </c>
      <c r="O96" s="35"/>
      <c r="P96" s="25"/>
      <c r="R96" s="848"/>
      <c r="S96" s="848"/>
      <c r="T96" s="848"/>
      <c r="U96" s="848"/>
      <c r="V96" s="848"/>
      <c r="W96" s="848"/>
      <c r="X96" s="848"/>
      <c r="Y96" s="848"/>
      <c r="Z96" s="848"/>
      <c r="AA96" s="848"/>
      <c r="AB96" s="848"/>
      <c r="AC96" s="848"/>
      <c r="AD96" s="848"/>
      <c r="AE96" s="848"/>
    </row>
    <row r="97" spans="2:16" x14ac:dyDescent="0.2">
      <c r="B97" s="21"/>
      <c r="C97" s="35"/>
      <c r="D97" s="191"/>
      <c r="E97" s="35"/>
      <c r="F97" s="35" t="str">
        <f>IF('geg ZO'!F153=1,"categorie 1",IF('geg ZO'!F153=2,"categorie 2","categorie 3"))</f>
        <v>categorie 3</v>
      </c>
      <c r="G97" s="71"/>
      <c r="H97" s="35"/>
      <c r="I97" s="553">
        <f>ROUND('geg ZO'!J153*VLOOKUP($F97,categoriePersVSO,5,FALSE),0)</f>
        <v>0</v>
      </c>
      <c r="J97" s="553">
        <f>ROUND('geg ZO'!K153*VLOOKUP($F97,categoriePersVSO,5,FALSE),0)</f>
        <v>0</v>
      </c>
      <c r="K97" s="553">
        <f>ROUND('geg ZO'!L153*VLOOKUP($F97,categoriePersVSO,5,FALSE),0)</f>
        <v>0</v>
      </c>
      <c r="L97" s="553">
        <f>ROUND('geg ZO'!M153*VLOOKUP($F97,categoriePersVSO,5,FALSE),0)</f>
        <v>0</v>
      </c>
      <c r="M97" s="553">
        <f>ROUND('geg ZO'!N153*VLOOKUP($F97,categoriePersVSO,5,FALSE),0)</f>
        <v>0</v>
      </c>
      <c r="N97" s="553">
        <f>ROUND('geg ZO'!O153*VLOOKUP($F97,categoriePersVSO,5,FALSE),0)</f>
        <v>0</v>
      </c>
      <c r="O97" s="35"/>
      <c r="P97" s="25"/>
    </row>
    <row r="98" spans="2:16" x14ac:dyDescent="0.2">
      <c r="B98" s="21"/>
      <c r="C98" s="35"/>
      <c r="D98" s="603" t="str">
        <f>+'geg ZO'!D156</f>
        <v>School 19</v>
      </c>
      <c r="E98" s="35"/>
      <c r="F98" s="35" t="str">
        <f>IF('geg ZO'!F156=1,"categorie 1",IF('geg ZO'!F156=2,"categorie 2","categorie 3"))</f>
        <v>categorie 1</v>
      </c>
      <c r="G98" s="71"/>
      <c r="H98" s="35"/>
      <c r="I98" s="553">
        <f>ROUND('geg ZO'!J156*VLOOKUP($F98,categoriePersVSO,5,FALSE),0)</f>
        <v>0</v>
      </c>
      <c r="J98" s="553">
        <f>ROUND('geg ZO'!K156*VLOOKUP($F98,categoriePersVSO,5,FALSE),0)</f>
        <v>0</v>
      </c>
      <c r="K98" s="553">
        <f>ROUND('geg ZO'!L156*VLOOKUP($F98,categoriePersVSO,5,FALSE),0)</f>
        <v>0</v>
      </c>
      <c r="L98" s="553">
        <f>ROUND('geg ZO'!M156*VLOOKUP($F98,categoriePersVSO,5,FALSE),0)</f>
        <v>0</v>
      </c>
      <c r="M98" s="553">
        <f>ROUND('geg ZO'!N156*VLOOKUP($F98,categoriePersVSO,5,FALSE),0)</f>
        <v>0</v>
      </c>
      <c r="N98" s="553">
        <f>ROUND('geg ZO'!O156*VLOOKUP($F98,categoriePersVSO,5,FALSE),0)</f>
        <v>0</v>
      </c>
      <c r="O98" s="35"/>
      <c r="P98" s="25"/>
    </row>
    <row r="99" spans="2:16" x14ac:dyDescent="0.2">
      <c r="B99" s="21"/>
      <c r="C99" s="35"/>
      <c r="D99" s="191"/>
      <c r="E99" s="35"/>
      <c r="F99" s="35" t="str">
        <f>IF('geg ZO'!F157=1,"categorie 1",IF('geg ZO'!F157=2,"categorie 2","categorie 3"))</f>
        <v>categorie 2</v>
      </c>
      <c r="G99" s="71"/>
      <c r="H99" s="35"/>
      <c r="I99" s="553">
        <f>ROUND('geg ZO'!J157*VLOOKUP($F99,categoriePersVSO,5,FALSE),0)</f>
        <v>0</v>
      </c>
      <c r="J99" s="553">
        <f>ROUND('geg ZO'!K157*VLOOKUP($F99,categoriePersVSO,5,FALSE),0)</f>
        <v>0</v>
      </c>
      <c r="K99" s="553">
        <f>ROUND('geg ZO'!L157*VLOOKUP($F99,categoriePersVSO,5,FALSE),0)</f>
        <v>0</v>
      </c>
      <c r="L99" s="553">
        <f>ROUND('geg ZO'!M157*VLOOKUP($F99,categoriePersVSO,5,FALSE),0)</f>
        <v>0</v>
      </c>
      <c r="M99" s="553">
        <f>ROUND('geg ZO'!N157*VLOOKUP($F99,categoriePersVSO,5,FALSE),0)</f>
        <v>0</v>
      </c>
      <c r="N99" s="553">
        <f>ROUND('geg ZO'!O157*VLOOKUP($F99,categoriePersVSO,5,FALSE),0)</f>
        <v>0</v>
      </c>
      <c r="O99" s="35"/>
      <c r="P99" s="25"/>
    </row>
    <row r="100" spans="2:16" x14ac:dyDescent="0.2">
      <c r="B100" s="21"/>
      <c r="C100" s="35"/>
      <c r="D100" s="191"/>
      <c r="E100" s="35"/>
      <c r="F100" s="35" t="str">
        <f>IF('geg ZO'!F158=1,"categorie 1",IF('geg ZO'!F158=2,"categorie 2","categorie 3"))</f>
        <v>categorie 3</v>
      </c>
      <c r="G100" s="71"/>
      <c r="H100" s="35"/>
      <c r="I100" s="553">
        <f>ROUND('geg ZO'!J158*VLOOKUP($F100,categoriePersVSO,5,FALSE),0)</f>
        <v>0</v>
      </c>
      <c r="J100" s="553">
        <f>ROUND('geg ZO'!K158*VLOOKUP($F100,categoriePersVSO,5,FALSE),0)</f>
        <v>0</v>
      </c>
      <c r="K100" s="553">
        <f>ROUND('geg ZO'!L158*VLOOKUP($F100,categoriePersVSO,5,FALSE),0)</f>
        <v>0</v>
      </c>
      <c r="L100" s="553">
        <f>ROUND('geg ZO'!M158*VLOOKUP($F100,categoriePersVSO,5,FALSE),0)</f>
        <v>0</v>
      </c>
      <c r="M100" s="553">
        <f>ROUND('geg ZO'!N158*VLOOKUP($F100,categoriePersVSO,5,FALSE),0)</f>
        <v>0</v>
      </c>
      <c r="N100" s="553">
        <f>ROUND('geg ZO'!O158*VLOOKUP($F100,categoriePersVSO,5,FALSE),0)</f>
        <v>0</v>
      </c>
      <c r="O100" s="35"/>
      <c r="P100" s="25"/>
    </row>
    <row r="101" spans="2:16" x14ac:dyDescent="0.2">
      <c r="B101" s="21"/>
      <c r="C101" s="35"/>
      <c r="D101" s="603" t="str">
        <f>+'geg ZO'!D161</f>
        <v>School 20</v>
      </c>
      <c r="E101" s="35"/>
      <c r="F101" s="35" t="str">
        <f>IF('geg ZO'!F161=1,"categorie 1",IF('geg ZO'!F161=2,"categorie 2","categorie 3"))</f>
        <v>categorie 1</v>
      </c>
      <c r="G101" s="71"/>
      <c r="H101" s="35"/>
      <c r="I101" s="553">
        <f>ROUND('geg ZO'!J161*VLOOKUP($F101,categoriePersVSO,5,FALSE),0)</f>
        <v>0</v>
      </c>
      <c r="J101" s="553">
        <f>ROUND('geg ZO'!K161*VLOOKUP($F101,categoriePersVSO,5,FALSE),0)</f>
        <v>0</v>
      </c>
      <c r="K101" s="553">
        <f>ROUND('geg ZO'!L161*VLOOKUP($F101,categoriePersVSO,5,FALSE),0)</f>
        <v>0</v>
      </c>
      <c r="L101" s="553">
        <f>ROUND('geg ZO'!M161*VLOOKUP($F101,categoriePersVSO,5,FALSE),0)</f>
        <v>0</v>
      </c>
      <c r="M101" s="553">
        <f>ROUND('geg ZO'!N161*VLOOKUP($F101,categoriePersVSO,5,FALSE),0)</f>
        <v>0</v>
      </c>
      <c r="N101" s="553">
        <f>ROUND('geg ZO'!O161*VLOOKUP($F101,categoriePersVSO,5,FALSE),0)</f>
        <v>0</v>
      </c>
      <c r="O101" s="35"/>
      <c r="P101" s="25"/>
    </row>
    <row r="102" spans="2:16" x14ac:dyDescent="0.2">
      <c r="B102" s="21"/>
      <c r="C102" s="35"/>
      <c r="D102" s="191"/>
      <c r="E102" s="35"/>
      <c r="F102" s="35" t="str">
        <f>IF('geg ZO'!F162=1,"categorie 1",IF('geg ZO'!F162=2,"categorie 2","categorie 3"))</f>
        <v>categorie 2</v>
      </c>
      <c r="G102" s="71"/>
      <c r="H102" s="35"/>
      <c r="I102" s="553">
        <f>ROUND('geg ZO'!J162*VLOOKUP($F102,categoriePersVSO,5,FALSE),0)</f>
        <v>0</v>
      </c>
      <c r="J102" s="553">
        <f>ROUND('geg ZO'!K162*VLOOKUP($F102,categoriePersVSO,5,FALSE),0)</f>
        <v>0</v>
      </c>
      <c r="K102" s="553">
        <f>ROUND('geg ZO'!L162*VLOOKUP($F102,categoriePersVSO,5,FALSE),0)</f>
        <v>0</v>
      </c>
      <c r="L102" s="553">
        <f>ROUND('geg ZO'!M162*VLOOKUP($F102,categoriePersVSO,5,FALSE),0)</f>
        <v>0</v>
      </c>
      <c r="M102" s="553">
        <f>ROUND('geg ZO'!N162*VLOOKUP($F102,categoriePersVSO,5,FALSE),0)</f>
        <v>0</v>
      </c>
      <c r="N102" s="553">
        <f>ROUND('geg ZO'!O162*VLOOKUP($F102,categoriePersVSO,5,FALSE),0)</f>
        <v>0</v>
      </c>
      <c r="O102" s="35"/>
      <c r="P102" s="25"/>
    </row>
    <row r="103" spans="2:16" x14ac:dyDescent="0.2">
      <c r="B103" s="21"/>
      <c r="C103" s="35"/>
      <c r="D103" s="191"/>
      <c r="E103" s="35"/>
      <c r="F103" s="35" t="str">
        <f>IF('geg ZO'!F163=1,"categorie 1",IF('geg ZO'!F163=2,"categorie 2","categorie 3"))</f>
        <v>categorie 3</v>
      </c>
      <c r="G103" s="71"/>
      <c r="H103" s="35"/>
      <c r="I103" s="553">
        <f>ROUND('geg ZO'!J163*VLOOKUP($F103,categoriePersVSO,5,FALSE),0)</f>
        <v>0</v>
      </c>
      <c r="J103" s="553">
        <f>ROUND('geg ZO'!K163*VLOOKUP($F103,categoriePersVSO,5,FALSE),0)</f>
        <v>0</v>
      </c>
      <c r="K103" s="553">
        <f>ROUND('geg ZO'!L163*VLOOKUP($F103,categoriePersVSO,5,FALSE),0)</f>
        <v>0</v>
      </c>
      <c r="L103" s="553">
        <f>ROUND('geg ZO'!M163*VLOOKUP($F103,categoriePersVSO,5,FALSE),0)</f>
        <v>0</v>
      </c>
      <c r="M103" s="553">
        <f>ROUND('geg ZO'!N163*VLOOKUP($F103,categoriePersVSO,5,FALSE),0)</f>
        <v>0</v>
      </c>
      <c r="N103" s="553">
        <f>ROUND('geg ZO'!O163*VLOOKUP($F103,categoriePersVSO,5,FALSE),0)</f>
        <v>0</v>
      </c>
      <c r="O103" s="35"/>
      <c r="P103" s="25"/>
    </row>
    <row r="104" spans="2:16" x14ac:dyDescent="0.2">
      <c r="B104" s="21"/>
      <c r="C104" s="35"/>
      <c r="D104" s="603" t="str">
        <f>+'geg ZO'!D166</f>
        <v>School 21</v>
      </c>
      <c r="E104" s="35"/>
      <c r="F104" s="35" t="str">
        <f>IF('geg ZO'!F166=1,"categorie 1",IF('geg ZO'!F166=2,"categorie 2","categorie 3"))</f>
        <v>categorie 1</v>
      </c>
      <c r="G104" s="71"/>
      <c r="H104" s="35"/>
      <c r="I104" s="553">
        <f>ROUND('geg ZO'!J166*VLOOKUP($F104,categoriePersVSO,5,FALSE),0)</f>
        <v>0</v>
      </c>
      <c r="J104" s="553">
        <f>ROUND('geg ZO'!K166*VLOOKUP($F104,categoriePersVSO,5,FALSE),0)</f>
        <v>0</v>
      </c>
      <c r="K104" s="553">
        <f>ROUND('geg ZO'!L166*VLOOKUP($F104,categoriePersVSO,5,FALSE),0)</f>
        <v>0</v>
      </c>
      <c r="L104" s="553">
        <f>ROUND('geg ZO'!M166*VLOOKUP($F104,categoriePersVSO,5,FALSE),0)</f>
        <v>0</v>
      </c>
      <c r="M104" s="553">
        <f>ROUND('geg ZO'!N166*VLOOKUP($F104,categoriePersVSO,5,FALSE),0)</f>
        <v>0</v>
      </c>
      <c r="N104" s="553">
        <f>ROUND('geg ZO'!O166*VLOOKUP($F104,categoriePersVSO,5,FALSE),0)</f>
        <v>0</v>
      </c>
      <c r="O104" s="35"/>
      <c r="P104" s="25"/>
    </row>
    <row r="105" spans="2:16" x14ac:dyDescent="0.2">
      <c r="B105" s="21"/>
      <c r="C105" s="35"/>
      <c r="D105" s="191"/>
      <c r="E105" s="35"/>
      <c r="F105" s="35" t="str">
        <f>IF('geg ZO'!F167=1,"categorie 1",IF('geg ZO'!F167=2,"categorie 2","categorie 3"))</f>
        <v>categorie 2</v>
      </c>
      <c r="G105" s="71"/>
      <c r="H105" s="35"/>
      <c r="I105" s="553">
        <f>ROUND('geg ZO'!J167*VLOOKUP($F105,categoriePersVSO,5,FALSE),0)</f>
        <v>0</v>
      </c>
      <c r="J105" s="553">
        <f>ROUND('geg ZO'!K167*VLOOKUP($F105,categoriePersVSO,5,FALSE),0)</f>
        <v>0</v>
      </c>
      <c r="K105" s="553">
        <f>ROUND('geg ZO'!L167*VLOOKUP($F105,categoriePersVSO,5,FALSE),0)</f>
        <v>0</v>
      </c>
      <c r="L105" s="553">
        <f>ROUND('geg ZO'!M167*VLOOKUP($F105,categoriePersVSO,5,FALSE),0)</f>
        <v>0</v>
      </c>
      <c r="M105" s="553">
        <f>ROUND('geg ZO'!N167*VLOOKUP($F105,categoriePersVSO,5,FALSE),0)</f>
        <v>0</v>
      </c>
      <c r="N105" s="553">
        <f>ROUND('geg ZO'!O167*VLOOKUP($F105,categoriePersVSO,5,FALSE),0)</f>
        <v>0</v>
      </c>
      <c r="O105" s="35"/>
      <c r="P105" s="25"/>
    </row>
    <row r="106" spans="2:16" x14ac:dyDescent="0.2">
      <c r="B106" s="21"/>
      <c r="C106" s="35"/>
      <c r="D106" s="191"/>
      <c r="E106" s="35"/>
      <c r="F106" s="35" t="str">
        <f>IF('geg ZO'!F168=1,"categorie 1",IF('geg ZO'!F168=2,"categorie 2","categorie 3"))</f>
        <v>categorie 3</v>
      </c>
      <c r="G106" s="71"/>
      <c r="H106" s="35"/>
      <c r="I106" s="553">
        <f>ROUND('geg ZO'!J168*VLOOKUP($F106,categoriePersVSO,5,FALSE),0)</f>
        <v>0</v>
      </c>
      <c r="J106" s="553">
        <f>ROUND('geg ZO'!K168*VLOOKUP($F106,categoriePersVSO,5,FALSE),0)</f>
        <v>0</v>
      </c>
      <c r="K106" s="553">
        <f>ROUND('geg ZO'!L168*VLOOKUP($F106,categoriePersVSO,5,FALSE),0)</f>
        <v>0</v>
      </c>
      <c r="L106" s="553">
        <f>ROUND('geg ZO'!M168*VLOOKUP($F106,categoriePersVSO,5,FALSE),0)</f>
        <v>0</v>
      </c>
      <c r="M106" s="553">
        <f>ROUND('geg ZO'!N168*VLOOKUP($F106,categoriePersVSO,5,FALSE),0)</f>
        <v>0</v>
      </c>
      <c r="N106" s="553">
        <f>ROUND('geg ZO'!O168*VLOOKUP($F106,categoriePersVSO,5,FALSE),0)</f>
        <v>0</v>
      </c>
      <c r="O106" s="35"/>
      <c r="P106" s="25"/>
    </row>
    <row r="107" spans="2:16" x14ac:dyDescent="0.2">
      <c r="B107" s="21"/>
      <c r="C107" s="35"/>
      <c r="D107" s="603" t="str">
        <f>+'geg ZO'!D171</f>
        <v>School 22</v>
      </c>
      <c r="E107" s="35"/>
      <c r="F107" s="35" t="str">
        <f>IF('geg ZO'!F171=1,"categorie 1",IF('geg ZO'!F171=2,"categorie 2","categorie 3"))</f>
        <v>categorie 1</v>
      </c>
      <c r="G107" s="71"/>
      <c r="H107" s="35"/>
      <c r="I107" s="553">
        <f>ROUND('geg ZO'!J171*VLOOKUP($F107,categoriePersVSO,5,FALSE),0)</f>
        <v>0</v>
      </c>
      <c r="J107" s="553">
        <f>ROUND('geg ZO'!K171*VLOOKUP($F107,categoriePersVSO,5,FALSE),0)</f>
        <v>0</v>
      </c>
      <c r="K107" s="553">
        <f>ROUND('geg ZO'!L171*VLOOKUP($F107,categoriePersVSO,5,FALSE),0)</f>
        <v>0</v>
      </c>
      <c r="L107" s="553">
        <f>ROUND('geg ZO'!M171*VLOOKUP($F107,categoriePersVSO,5,FALSE),0)</f>
        <v>0</v>
      </c>
      <c r="M107" s="553">
        <f>ROUND('geg ZO'!N171*VLOOKUP($F107,categoriePersVSO,5,FALSE),0)</f>
        <v>0</v>
      </c>
      <c r="N107" s="553">
        <f>ROUND('geg ZO'!O171*VLOOKUP($F107,categoriePersVSO,5,FALSE),0)</f>
        <v>0</v>
      </c>
      <c r="O107" s="35"/>
      <c r="P107" s="25"/>
    </row>
    <row r="108" spans="2:16" x14ac:dyDescent="0.2">
      <c r="B108" s="21"/>
      <c r="C108" s="35"/>
      <c r="D108" s="191"/>
      <c r="E108" s="35"/>
      <c r="F108" s="35" t="str">
        <f>IF('geg ZO'!F172=1,"categorie 1",IF('geg ZO'!F172=2,"categorie 2","categorie 3"))</f>
        <v>categorie 2</v>
      </c>
      <c r="G108" s="71"/>
      <c r="H108" s="35"/>
      <c r="I108" s="553">
        <f>ROUND('geg ZO'!J172*VLOOKUP($F108,categoriePersVSO,5,FALSE),0)</f>
        <v>0</v>
      </c>
      <c r="J108" s="553">
        <f>ROUND('geg ZO'!K172*VLOOKUP($F108,categoriePersVSO,5,FALSE),0)</f>
        <v>0</v>
      </c>
      <c r="K108" s="553">
        <f>ROUND('geg ZO'!L172*VLOOKUP($F108,categoriePersVSO,5,FALSE),0)</f>
        <v>0</v>
      </c>
      <c r="L108" s="553">
        <f>ROUND('geg ZO'!M172*VLOOKUP($F108,categoriePersVSO,5,FALSE),0)</f>
        <v>0</v>
      </c>
      <c r="M108" s="553">
        <f>ROUND('geg ZO'!N172*VLOOKUP($F108,categoriePersVSO,5,FALSE),0)</f>
        <v>0</v>
      </c>
      <c r="N108" s="553">
        <f>ROUND('geg ZO'!O172*VLOOKUP($F108,categoriePersVSO,5,FALSE),0)</f>
        <v>0</v>
      </c>
      <c r="O108" s="35"/>
      <c r="P108" s="25"/>
    </row>
    <row r="109" spans="2:16" x14ac:dyDescent="0.2">
      <c r="B109" s="21"/>
      <c r="C109" s="35"/>
      <c r="D109" s="191"/>
      <c r="E109" s="35"/>
      <c r="F109" s="35" t="str">
        <f>IF('geg ZO'!F173=1,"categorie 1",IF('geg ZO'!F173=2,"categorie 2","categorie 3"))</f>
        <v>categorie 3</v>
      </c>
      <c r="G109" s="71"/>
      <c r="H109" s="35"/>
      <c r="I109" s="553">
        <f>ROUND('geg ZO'!J173*VLOOKUP($F109,categoriePersVSO,5,FALSE),0)</f>
        <v>0</v>
      </c>
      <c r="J109" s="553">
        <f>ROUND('geg ZO'!K173*VLOOKUP($F109,categoriePersVSO,5,FALSE),0)</f>
        <v>0</v>
      </c>
      <c r="K109" s="553">
        <f>ROUND('geg ZO'!L173*VLOOKUP($F109,categoriePersVSO,5,FALSE),0)</f>
        <v>0</v>
      </c>
      <c r="L109" s="553">
        <f>ROUND('geg ZO'!M173*VLOOKUP($F109,categoriePersVSO,5,FALSE),0)</f>
        <v>0</v>
      </c>
      <c r="M109" s="553">
        <f>ROUND('geg ZO'!N173*VLOOKUP($F109,categoriePersVSO,5,FALSE),0)</f>
        <v>0</v>
      </c>
      <c r="N109" s="553">
        <f>ROUND('geg ZO'!O173*VLOOKUP($F109,categoriePersVSO,5,FALSE),0)</f>
        <v>0</v>
      </c>
      <c r="O109" s="35"/>
      <c r="P109" s="25"/>
    </row>
    <row r="110" spans="2:16" x14ac:dyDescent="0.2">
      <c r="B110" s="21"/>
      <c r="C110" s="35"/>
      <c r="D110" s="603" t="str">
        <f>+'geg ZO'!D176</f>
        <v>School 23</v>
      </c>
      <c r="E110" s="35"/>
      <c r="F110" s="35" t="str">
        <f>IF('geg ZO'!F176=1,"categorie 1",IF('geg ZO'!F176=2,"categorie 2","categorie 3"))</f>
        <v>categorie 1</v>
      </c>
      <c r="G110" s="71"/>
      <c r="H110" s="35"/>
      <c r="I110" s="553">
        <f>ROUND('geg ZO'!J176*VLOOKUP($F110,categoriePersVSO,5,FALSE),0)</f>
        <v>0</v>
      </c>
      <c r="J110" s="553">
        <f>ROUND('geg ZO'!K176*VLOOKUP($F110,categoriePersVSO,5,FALSE),0)</f>
        <v>0</v>
      </c>
      <c r="K110" s="553">
        <f>ROUND('geg ZO'!L176*VLOOKUP($F110,categoriePersVSO,5,FALSE),0)</f>
        <v>0</v>
      </c>
      <c r="L110" s="553">
        <f>ROUND('geg ZO'!M176*VLOOKUP($F110,categoriePersVSO,5,FALSE),0)</f>
        <v>0</v>
      </c>
      <c r="M110" s="553">
        <f>ROUND('geg ZO'!N176*VLOOKUP($F110,categoriePersVSO,5,FALSE),0)</f>
        <v>0</v>
      </c>
      <c r="N110" s="553">
        <f>ROUND('geg ZO'!O176*VLOOKUP($F110,categoriePersVSO,5,FALSE),0)</f>
        <v>0</v>
      </c>
      <c r="O110" s="35"/>
      <c r="P110" s="25"/>
    </row>
    <row r="111" spans="2:16" x14ac:dyDescent="0.2">
      <c r="B111" s="21"/>
      <c r="C111" s="35"/>
      <c r="D111" s="191"/>
      <c r="E111" s="35"/>
      <c r="F111" s="35" t="str">
        <f>IF('geg ZO'!F177=1,"categorie 1",IF('geg ZO'!F177=2,"categorie 2","categorie 3"))</f>
        <v>categorie 2</v>
      </c>
      <c r="G111" s="71"/>
      <c r="H111" s="35"/>
      <c r="I111" s="553">
        <f>ROUND('geg ZO'!J177*VLOOKUP($F111,categoriePersVSO,5,FALSE),0)</f>
        <v>0</v>
      </c>
      <c r="J111" s="553">
        <f>ROUND('geg ZO'!K177*VLOOKUP($F111,categoriePersVSO,5,FALSE),0)</f>
        <v>0</v>
      </c>
      <c r="K111" s="553">
        <f>ROUND('geg ZO'!L177*VLOOKUP($F111,categoriePersVSO,5,FALSE),0)</f>
        <v>0</v>
      </c>
      <c r="L111" s="553">
        <f>ROUND('geg ZO'!M177*VLOOKUP($F111,categoriePersVSO,5,FALSE),0)</f>
        <v>0</v>
      </c>
      <c r="M111" s="553">
        <f>ROUND('geg ZO'!N177*VLOOKUP($F111,categoriePersVSO,5,FALSE),0)</f>
        <v>0</v>
      </c>
      <c r="N111" s="553">
        <f>ROUND('geg ZO'!O177*VLOOKUP($F111,categoriePersVSO,5,FALSE),0)</f>
        <v>0</v>
      </c>
      <c r="O111" s="35"/>
      <c r="P111" s="25"/>
    </row>
    <row r="112" spans="2:16" x14ac:dyDescent="0.2">
      <c r="B112" s="21"/>
      <c r="C112" s="35"/>
      <c r="D112" s="191"/>
      <c r="E112" s="35"/>
      <c r="F112" s="35" t="str">
        <f>IF('geg ZO'!F178=1,"categorie 1",IF('geg ZO'!F178=2,"categorie 2","categorie 3"))</f>
        <v>categorie 3</v>
      </c>
      <c r="G112" s="71"/>
      <c r="H112" s="35"/>
      <c r="I112" s="553">
        <f>ROUND('geg ZO'!J178*VLOOKUP($F112,categoriePersVSO,5,FALSE),0)</f>
        <v>0</v>
      </c>
      <c r="J112" s="553">
        <f>ROUND('geg ZO'!K178*VLOOKUP($F112,categoriePersVSO,5,FALSE),0)</f>
        <v>0</v>
      </c>
      <c r="K112" s="553">
        <f>ROUND('geg ZO'!L178*VLOOKUP($F112,categoriePersVSO,5,FALSE),0)</f>
        <v>0</v>
      </c>
      <c r="L112" s="553">
        <f>ROUND('geg ZO'!M178*VLOOKUP($F112,categoriePersVSO,5,FALSE),0)</f>
        <v>0</v>
      </c>
      <c r="M112" s="553">
        <f>ROUND('geg ZO'!N178*VLOOKUP($F112,categoriePersVSO,5,FALSE),0)</f>
        <v>0</v>
      </c>
      <c r="N112" s="553">
        <f>ROUND('geg ZO'!O178*VLOOKUP($F112,categoriePersVSO,5,FALSE),0)</f>
        <v>0</v>
      </c>
      <c r="O112" s="35"/>
      <c r="P112" s="25"/>
    </row>
    <row r="113" spans="2:16" x14ac:dyDescent="0.2">
      <c r="B113" s="21"/>
      <c r="C113" s="35"/>
      <c r="D113" s="603" t="str">
        <f>+'geg ZO'!D181</f>
        <v>School 24</v>
      </c>
      <c r="E113" s="35"/>
      <c r="F113" s="35" t="str">
        <f>IF('geg ZO'!F181=1,"categorie 1",IF('geg ZO'!F181=2,"categorie 2","categorie 3"))</f>
        <v>categorie 1</v>
      </c>
      <c r="G113" s="71"/>
      <c r="H113" s="35"/>
      <c r="I113" s="553">
        <f>ROUND('geg ZO'!J181*VLOOKUP($F113,categoriePersVSO,5,FALSE),0)</f>
        <v>0</v>
      </c>
      <c r="J113" s="553">
        <f>ROUND('geg ZO'!K181*VLOOKUP($F113,categoriePersVSO,5,FALSE),0)</f>
        <v>0</v>
      </c>
      <c r="K113" s="553">
        <f>ROUND('geg ZO'!L181*VLOOKUP($F113,categoriePersVSO,5,FALSE),0)</f>
        <v>0</v>
      </c>
      <c r="L113" s="553">
        <f>ROUND('geg ZO'!M181*VLOOKUP($F113,categoriePersVSO,5,FALSE),0)</f>
        <v>0</v>
      </c>
      <c r="M113" s="553">
        <f>ROUND('geg ZO'!N181*VLOOKUP($F113,categoriePersVSO,5,FALSE),0)</f>
        <v>0</v>
      </c>
      <c r="N113" s="553">
        <f>ROUND('geg ZO'!O181*VLOOKUP($F113,categoriePersVSO,5,FALSE),0)</f>
        <v>0</v>
      </c>
      <c r="O113" s="35"/>
      <c r="P113" s="25"/>
    </row>
    <row r="114" spans="2:16" x14ac:dyDescent="0.2">
      <c r="B114" s="21"/>
      <c r="C114" s="35"/>
      <c r="D114" s="191"/>
      <c r="E114" s="35"/>
      <c r="F114" s="35" t="str">
        <f>IF('geg ZO'!F182=1,"categorie 1",IF('geg ZO'!F182=2,"categorie 2","categorie 3"))</f>
        <v>categorie 2</v>
      </c>
      <c r="G114" s="71"/>
      <c r="H114" s="35"/>
      <c r="I114" s="553">
        <f>ROUND('geg ZO'!J182*VLOOKUP($F114,categoriePersVSO,5,FALSE),0)</f>
        <v>0</v>
      </c>
      <c r="J114" s="553">
        <f>ROUND('geg ZO'!K182*VLOOKUP($F114,categoriePersVSO,5,FALSE),0)</f>
        <v>0</v>
      </c>
      <c r="K114" s="553">
        <f>ROUND('geg ZO'!L182*VLOOKUP($F114,categoriePersVSO,5,FALSE),0)</f>
        <v>0</v>
      </c>
      <c r="L114" s="553">
        <f>ROUND('geg ZO'!M182*VLOOKUP($F114,categoriePersVSO,5,FALSE),0)</f>
        <v>0</v>
      </c>
      <c r="M114" s="553">
        <f>ROUND('geg ZO'!N182*VLOOKUP($F114,categoriePersVSO,5,FALSE),0)</f>
        <v>0</v>
      </c>
      <c r="N114" s="553">
        <f>ROUND('geg ZO'!O182*VLOOKUP($F114,categoriePersVSO,5,FALSE),0)</f>
        <v>0</v>
      </c>
      <c r="O114" s="35"/>
      <c r="P114" s="25"/>
    </row>
    <row r="115" spans="2:16" x14ac:dyDescent="0.2">
      <c r="B115" s="21"/>
      <c r="C115" s="35"/>
      <c r="D115" s="191"/>
      <c r="E115" s="35"/>
      <c r="F115" s="35" t="str">
        <f>IF('geg ZO'!F183=1,"categorie 1",IF('geg ZO'!F183=2,"categorie 2","categorie 3"))</f>
        <v>categorie 3</v>
      </c>
      <c r="G115" s="71"/>
      <c r="H115" s="35"/>
      <c r="I115" s="553">
        <f>ROUND('geg ZO'!J183*VLOOKUP($F115,categoriePersVSO,5,FALSE),0)</f>
        <v>0</v>
      </c>
      <c r="J115" s="553">
        <f>ROUND('geg ZO'!K183*VLOOKUP($F115,categoriePersVSO,5,FALSE),0)</f>
        <v>0</v>
      </c>
      <c r="K115" s="553">
        <f>ROUND('geg ZO'!L183*VLOOKUP($F115,categoriePersVSO,5,FALSE),0)</f>
        <v>0</v>
      </c>
      <c r="L115" s="553">
        <f>ROUND('geg ZO'!M183*VLOOKUP($F115,categoriePersVSO,5,FALSE),0)</f>
        <v>0</v>
      </c>
      <c r="M115" s="553">
        <f>ROUND('geg ZO'!N183*VLOOKUP($F115,categoriePersVSO,5,FALSE),0)</f>
        <v>0</v>
      </c>
      <c r="N115" s="553">
        <f>ROUND('geg ZO'!O183*VLOOKUP($F115,categoriePersVSO,5,FALSE),0)</f>
        <v>0</v>
      </c>
      <c r="O115" s="35"/>
      <c r="P115" s="25"/>
    </row>
    <row r="116" spans="2:16" x14ac:dyDescent="0.2">
      <c r="B116" s="21"/>
      <c r="C116" s="35"/>
      <c r="D116" s="603" t="str">
        <f>+'geg ZO'!D186</f>
        <v>School 25</v>
      </c>
      <c r="E116" s="35"/>
      <c r="F116" s="35" t="str">
        <f>IF('geg ZO'!F186=1,"categorie 1",IF('geg ZO'!F186=2,"categorie 2","categorie 3"))</f>
        <v>categorie 1</v>
      </c>
      <c r="G116" s="71"/>
      <c r="H116" s="35"/>
      <c r="I116" s="553">
        <f>ROUND('geg ZO'!J186*VLOOKUP($F116,categoriePersVSO,5,FALSE),0)</f>
        <v>0</v>
      </c>
      <c r="J116" s="553">
        <f>ROUND('geg ZO'!K186*VLOOKUP($F116,categoriePersVSO,5,FALSE),0)</f>
        <v>0</v>
      </c>
      <c r="K116" s="553">
        <f>ROUND('geg ZO'!L186*VLOOKUP($F116,categoriePersVSO,5,FALSE),0)</f>
        <v>0</v>
      </c>
      <c r="L116" s="553">
        <f>ROUND('geg ZO'!M186*VLOOKUP($F116,categoriePersVSO,5,FALSE),0)</f>
        <v>0</v>
      </c>
      <c r="M116" s="553">
        <f>ROUND('geg ZO'!N186*VLOOKUP($F116,categoriePersVSO,5,FALSE),0)</f>
        <v>0</v>
      </c>
      <c r="N116" s="553">
        <f>ROUND('geg ZO'!O186*VLOOKUP($F116,categoriePersVSO,5,FALSE),0)</f>
        <v>0</v>
      </c>
      <c r="O116" s="35"/>
      <c r="P116" s="25"/>
    </row>
    <row r="117" spans="2:16" x14ac:dyDescent="0.2">
      <c r="B117" s="21"/>
      <c r="C117" s="35"/>
      <c r="D117" s="191"/>
      <c r="E117" s="35"/>
      <c r="F117" s="35" t="str">
        <f>IF('geg ZO'!F187=1,"categorie 1",IF('geg ZO'!F187=2,"categorie 2","categorie 3"))</f>
        <v>categorie 2</v>
      </c>
      <c r="G117" s="71"/>
      <c r="H117" s="35"/>
      <c r="I117" s="553">
        <f>ROUND('geg ZO'!J187*VLOOKUP($F117,categoriePersVSO,5,FALSE),0)</f>
        <v>0</v>
      </c>
      <c r="J117" s="553">
        <f>ROUND('geg ZO'!K187*VLOOKUP($F117,categoriePersVSO,5,FALSE),0)</f>
        <v>0</v>
      </c>
      <c r="K117" s="553">
        <f>ROUND('geg ZO'!L187*VLOOKUP($F117,categoriePersVSO,5,FALSE),0)</f>
        <v>0</v>
      </c>
      <c r="L117" s="553">
        <f>ROUND('geg ZO'!M187*VLOOKUP($F117,categoriePersVSO,5,FALSE),0)</f>
        <v>0</v>
      </c>
      <c r="M117" s="553">
        <f>ROUND('geg ZO'!N187*VLOOKUP($F117,categoriePersVSO,5,FALSE),0)</f>
        <v>0</v>
      </c>
      <c r="N117" s="553">
        <f>ROUND('geg ZO'!O187*VLOOKUP($F117,categoriePersVSO,5,FALSE),0)</f>
        <v>0</v>
      </c>
      <c r="O117" s="35"/>
      <c r="P117" s="25"/>
    </row>
    <row r="118" spans="2:16" x14ac:dyDescent="0.2">
      <c r="B118" s="21"/>
      <c r="C118" s="35"/>
      <c r="D118" s="191"/>
      <c r="E118" s="35"/>
      <c r="F118" s="35" t="str">
        <f>IF('geg ZO'!F188=1,"categorie 1",IF('geg ZO'!F188=2,"categorie 2","categorie 3"))</f>
        <v>categorie 3</v>
      </c>
      <c r="G118" s="71"/>
      <c r="H118" s="35"/>
      <c r="I118" s="553">
        <f>ROUND('geg ZO'!J188*VLOOKUP($F118,categoriePersVSO,5,FALSE),0)</f>
        <v>0</v>
      </c>
      <c r="J118" s="553">
        <f>ROUND('geg ZO'!K188*VLOOKUP($F118,categoriePersVSO,5,FALSE),0)</f>
        <v>0</v>
      </c>
      <c r="K118" s="553">
        <f>ROUND('geg ZO'!L188*VLOOKUP($F118,categoriePersVSO,5,FALSE),0)</f>
        <v>0</v>
      </c>
      <c r="L118" s="553">
        <f>ROUND('geg ZO'!M188*VLOOKUP($F118,categoriePersVSO,5,FALSE),0)</f>
        <v>0</v>
      </c>
      <c r="M118" s="553">
        <f>ROUND('geg ZO'!N188*VLOOKUP($F118,categoriePersVSO,5,FALSE),0)</f>
        <v>0</v>
      </c>
      <c r="N118" s="553">
        <f>ROUND('geg ZO'!O188*VLOOKUP($F118,categoriePersVSO,5,FALSE),0)</f>
        <v>0</v>
      </c>
      <c r="O118" s="35"/>
      <c r="P118" s="25"/>
    </row>
    <row r="119" spans="2:16" x14ac:dyDescent="0.2">
      <c r="B119" s="21"/>
      <c r="C119" s="35"/>
      <c r="D119" s="603" t="str">
        <f>+'geg ZO'!D191</f>
        <v>School 26</v>
      </c>
      <c r="E119" s="35"/>
      <c r="F119" s="35" t="str">
        <f>IF('geg ZO'!F191=1,"categorie 1",IF('geg ZO'!F191=2,"categorie 2","categorie 3"))</f>
        <v>categorie 1</v>
      </c>
      <c r="G119" s="71"/>
      <c r="H119" s="35"/>
      <c r="I119" s="553">
        <f>ROUND('geg ZO'!J191*VLOOKUP($F119,categoriePersVSO,5,FALSE),0)</f>
        <v>0</v>
      </c>
      <c r="J119" s="553">
        <f>ROUND('geg ZO'!K191*VLOOKUP($F119,categoriePersVSO,5,FALSE),0)</f>
        <v>0</v>
      </c>
      <c r="K119" s="553">
        <f>ROUND('geg ZO'!L191*VLOOKUP($F119,categoriePersVSO,5,FALSE),0)</f>
        <v>0</v>
      </c>
      <c r="L119" s="553">
        <f>ROUND('geg ZO'!M191*VLOOKUP($F119,categoriePersVSO,5,FALSE),0)</f>
        <v>0</v>
      </c>
      <c r="M119" s="553">
        <f>ROUND('geg ZO'!N191*VLOOKUP($F119,categoriePersVSO,5,FALSE),0)</f>
        <v>0</v>
      </c>
      <c r="N119" s="553">
        <f>ROUND('geg ZO'!O191*VLOOKUP($F119,categoriePersVSO,5,FALSE),0)</f>
        <v>0</v>
      </c>
      <c r="O119" s="35"/>
      <c r="P119" s="25"/>
    </row>
    <row r="120" spans="2:16" x14ac:dyDescent="0.2">
      <c r="B120" s="21"/>
      <c r="C120" s="35"/>
      <c r="D120" s="191"/>
      <c r="E120" s="35"/>
      <c r="F120" s="35" t="str">
        <f>IF('geg ZO'!F192=1,"categorie 1",IF('geg ZO'!F192=2,"categorie 2","categorie 3"))</f>
        <v>categorie 2</v>
      </c>
      <c r="G120" s="71"/>
      <c r="H120" s="35"/>
      <c r="I120" s="553">
        <f>ROUND('geg ZO'!J192*VLOOKUP($F120,categoriePersVSO,5,FALSE),0)</f>
        <v>0</v>
      </c>
      <c r="J120" s="553">
        <f>ROUND('geg ZO'!K192*VLOOKUP($F120,categoriePersVSO,5,FALSE),0)</f>
        <v>0</v>
      </c>
      <c r="K120" s="553">
        <f>ROUND('geg ZO'!L192*VLOOKUP($F120,categoriePersVSO,5,FALSE),0)</f>
        <v>0</v>
      </c>
      <c r="L120" s="553">
        <f>ROUND('geg ZO'!M192*VLOOKUP($F120,categoriePersVSO,5,FALSE),0)</f>
        <v>0</v>
      </c>
      <c r="M120" s="553">
        <f>ROUND('geg ZO'!N192*VLOOKUP($F120,categoriePersVSO,5,FALSE),0)</f>
        <v>0</v>
      </c>
      <c r="N120" s="553">
        <f>ROUND('geg ZO'!O192*VLOOKUP($F120,categoriePersVSO,5,FALSE),0)</f>
        <v>0</v>
      </c>
      <c r="O120" s="35"/>
      <c r="P120" s="25"/>
    </row>
    <row r="121" spans="2:16" x14ac:dyDescent="0.2">
      <c r="B121" s="21"/>
      <c r="C121" s="35"/>
      <c r="D121" s="191"/>
      <c r="E121" s="35"/>
      <c r="F121" s="35" t="str">
        <f>IF('geg ZO'!F193=1,"categorie 1",IF('geg ZO'!F193=2,"categorie 2","categorie 3"))</f>
        <v>categorie 3</v>
      </c>
      <c r="G121" s="71"/>
      <c r="H121" s="35"/>
      <c r="I121" s="553">
        <f>ROUND('geg ZO'!J193*VLOOKUP($F121,categoriePersVSO,5,FALSE),0)</f>
        <v>0</v>
      </c>
      <c r="J121" s="553">
        <f>ROUND('geg ZO'!K193*VLOOKUP($F121,categoriePersVSO,5,FALSE),0)</f>
        <v>0</v>
      </c>
      <c r="K121" s="553">
        <f>ROUND('geg ZO'!L193*VLOOKUP($F121,categoriePersVSO,5,FALSE),0)</f>
        <v>0</v>
      </c>
      <c r="L121" s="553">
        <f>ROUND('geg ZO'!M193*VLOOKUP($F121,categoriePersVSO,5,FALSE),0)</f>
        <v>0</v>
      </c>
      <c r="M121" s="553">
        <f>ROUND('geg ZO'!N193*VLOOKUP($F121,categoriePersVSO,5,FALSE),0)</f>
        <v>0</v>
      </c>
      <c r="N121" s="553">
        <f>ROUND('geg ZO'!O193*VLOOKUP($F121,categoriePersVSO,5,FALSE),0)</f>
        <v>0</v>
      </c>
      <c r="O121" s="35"/>
      <c r="P121" s="25"/>
    </row>
    <row r="122" spans="2:16" x14ac:dyDescent="0.2">
      <c r="B122" s="21"/>
      <c r="C122" s="35"/>
      <c r="D122" s="603" t="str">
        <f>+'geg ZO'!D196</f>
        <v>School 27</v>
      </c>
      <c r="E122" s="35"/>
      <c r="F122" s="35" t="str">
        <f>IF('geg ZO'!F196=1,"categorie 1",IF('geg ZO'!F196=2,"categorie 2","categorie 3"))</f>
        <v>categorie 1</v>
      </c>
      <c r="G122" s="71"/>
      <c r="H122" s="35"/>
      <c r="I122" s="553">
        <f>ROUND('geg ZO'!J196*VLOOKUP($F122,categoriePersVSO,5,FALSE),0)</f>
        <v>0</v>
      </c>
      <c r="J122" s="553">
        <f>ROUND('geg ZO'!K196*VLOOKUP($F122,categoriePersVSO,5,FALSE),0)</f>
        <v>0</v>
      </c>
      <c r="K122" s="553">
        <f>ROUND('geg ZO'!L196*VLOOKUP($F122,categoriePersVSO,5,FALSE),0)</f>
        <v>0</v>
      </c>
      <c r="L122" s="553">
        <f>ROUND('geg ZO'!M196*VLOOKUP($F122,categoriePersVSO,5,FALSE),0)</f>
        <v>0</v>
      </c>
      <c r="M122" s="553">
        <f>ROUND('geg ZO'!N196*VLOOKUP($F122,categoriePersVSO,5,FALSE),0)</f>
        <v>0</v>
      </c>
      <c r="N122" s="553">
        <f>ROUND('geg ZO'!O196*VLOOKUP($F122,categoriePersVSO,5,FALSE),0)</f>
        <v>0</v>
      </c>
      <c r="O122" s="35"/>
      <c r="P122" s="25"/>
    </row>
    <row r="123" spans="2:16" x14ac:dyDescent="0.2">
      <c r="B123" s="21"/>
      <c r="C123" s="35"/>
      <c r="D123" s="191"/>
      <c r="E123" s="35"/>
      <c r="F123" s="35" t="str">
        <f>IF('geg ZO'!F197=1,"categorie 1",IF('geg ZO'!F197=2,"categorie 2","categorie 3"))</f>
        <v>categorie 2</v>
      </c>
      <c r="G123" s="71"/>
      <c r="H123" s="35"/>
      <c r="I123" s="553">
        <f>ROUND('geg ZO'!J197*VLOOKUP($F123,categoriePersVSO,5,FALSE),0)</f>
        <v>0</v>
      </c>
      <c r="J123" s="553">
        <f>ROUND('geg ZO'!K197*VLOOKUP($F123,categoriePersVSO,5,FALSE),0)</f>
        <v>0</v>
      </c>
      <c r="K123" s="553">
        <f>ROUND('geg ZO'!L197*VLOOKUP($F123,categoriePersVSO,5,FALSE),0)</f>
        <v>0</v>
      </c>
      <c r="L123" s="553">
        <f>ROUND('geg ZO'!M197*VLOOKUP($F123,categoriePersVSO,5,FALSE),0)</f>
        <v>0</v>
      </c>
      <c r="M123" s="553">
        <f>ROUND('geg ZO'!N197*VLOOKUP($F123,categoriePersVSO,5,FALSE),0)</f>
        <v>0</v>
      </c>
      <c r="N123" s="553">
        <f>ROUND('geg ZO'!O197*VLOOKUP($F123,categoriePersVSO,5,FALSE),0)</f>
        <v>0</v>
      </c>
      <c r="O123" s="35"/>
      <c r="P123" s="25"/>
    </row>
    <row r="124" spans="2:16" x14ac:dyDescent="0.2">
      <c r="B124" s="21"/>
      <c r="C124" s="35"/>
      <c r="D124" s="191"/>
      <c r="E124" s="35"/>
      <c r="F124" s="35" t="str">
        <f>IF('geg ZO'!F198=1,"categorie 1",IF('geg ZO'!F198=2,"categorie 2","categorie 3"))</f>
        <v>categorie 3</v>
      </c>
      <c r="G124" s="71"/>
      <c r="H124" s="35"/>
      <c r="I124" s="553">
        <f>ROUND('geg ZO'!J198*VLOOKUP($F124,categoriePersVSO,5,FALSE),0)</f>
        <v>0</v>
      </c>
      <c r="J124" s="553">
        <f>ROUND('geg ZO'!K198*VLOOKUP($F124,categoriePersVSO,5,FALSE),0)</f>
        <v>0</v>
      </c>
      <c r="K124" s="553">
        <f>ROUND('geg ZO'!L198*VLOOKUP($F124,categoriePersVSO,5,FALSE),0)</f>
        <v>0</v>
      </c>
      <c r="L124" s="553">
        <f>ROUND('geg ZO'!M198*VLOOKUP($F124,categoriePersVSO,5,FALSE),0)</f>
        <v>0</v>
      </c>
      <c r="M124" s="553">
        <f>ROUND('geg ZO'!N198*VLOOKUP($F124,categoriePersVSO,5,FALSE),0)</f>
        <v>0</v>
      </c>
      <c r="N124" s="553">
        <f>ROUND('geg ZO'!O198*VLOOKUP($F124,categoriePersVSO,5,FALSE),0)</f>
        <v>0</v>
      </c>
      <c r="O124" s="35"/>
      <c r="P124" s="25"/>
    </row>
    <row r="125" spans="2:16" x14ac:dyDescent="0.2">
      <c r="B125" s="21"/>
      <c r="C125" s="35"/>
      <c r="D125" s="603" t="str">
        <f>+'geg ZO'!D201</f>
        <v>School 28</v>
      </c>
      <c r="E125" s="35"/>
      <c r="F125" s="35" t="str">
        <f>IF('geg ZO'!F201=1,"categorie 1",IF('geg ZO'!F201=2,"categorie 2","categorie 3"))</f>
        <v>categorie 1</v>
      </c>
      <c r="G125" s="71"/>
      <c r="H125" s="35"/>
      <c r="I125" s="553">
        <f>ROUND('geg ZO'!J201*VLOOKUP($F125,categoriePersVSO,5,FALSE),0)</f>
        <v>0</v>
      </c>
      <c r="J125" s="553">
        <f>ROUND('geg ZO'!K201*VLOOKUP($F125,categoriePersVSO,5,FALSE),0)</f>
        <v>0</v>
      </c>
      <c r="K125" s="553">
        <f>ROUND('geg ZO'!L201*VLOOKUP($F125,categoriePersVSO,5,FALSE),0)</f>
        <v>0</v>
      </c>
      <c r="L125" s="553">
        <f>ROUND('geg ZO'!M201*VLOOKUP($F125,categoriePersVSO,5,FALSE),0)</f>
        <v>0</v>
      </c>
      <c r="M125" s="553">
        <f>ROUND('geg ZO'!N201*VLOOKUP($F125,categoriePersVSO,5,FALSE),0)</f>
        <v>0</v>
      </c>
      <c r="N125" s="553">
        <f>ROUND('geg ZO'!O201*VLOOKUP($F125,categoriePersVSO,5,FALSE),0)</f>
        <v>0</v>
      </c>
      <c r="O125" s="35"/>
      <c r="P125" s="25"/>
    </row>
    <row r="126" spans="2:16" x14ac:dyDescent="0.2">
      <c r="B126" s="21"/>
      <c r="C126" s="35"/>
      <c r="D126" s="191"/>
      <c r="E126" s="35"/>
      <c r="F126" s="35" t="str">
        <f>IF('geg ZO'!F202=1,"categorie 1",IF('geg ZO'!F202=2,"categorie 2","categorie 3"))</f>
        <v>categorie 2</v>
      </c>
      <c r="G126" s="71"/>
      <c r="H126" s="35"/>
      <c r="I126" s="553">
        <f>ROUND('geg ZO'!J202*VLOOKUP($F126,categoriePersVSO,5,FALSE),0)</f>
        <v>0</v>
      </c>
      <c r="J126" s="553">
        <f>ROUND('geg ZO'!K202*VLOOKUP($F126,categoriePersVSO,5,FALSE),0)</f>
        <v>0</v>
      </c>
      <c r="K126" s="553">
        <f>ROUND('geg ZO'!L202*VLOOKUP($F126,categoriePersVSO,5,FALSE),0)</f>
        <v>0</v>
      </c>
      <c r="L126" s="553">
        <f>ROUND('geg ZO'!M202*VLOOKUP($F126,categoriePersVSO,5,FALSE),0)</f>
        <v>0</v>
      </c>
      <c r="M126" s="553">
        <f>ROUND('geg ZO'!N202*VLOOKUP($F126,categoriePersVSO,5,FALSE),0)</f>
        <v>0</v>
      </c>
      <c r="N126" s="553">
        <f>ROUND('geg ZO'!O202*VLOOKUP($F126,categoriePersVSO,5,FALSE),0)</f>
        <v>0</v>
      </c>
      <c r="O126" s="35"/>
      <c r="P126" s="25"/>
    </row>
    <row r="127" spans="2:16" x14ac:dyDescent="0.2">
      <c r="B127" s="21"/>
      <c r="C127" s="35"/>
      <c r="D127" s="191"/>
      <c r="E127" s="35"/>
      <c r="F127" s="35" t="str">
        <f>IF('geg ZO'!F203=1,"categorie 1",IF('geg ZO'!F203=2,"categorie 2","categorie 3"))</f>
        <v>categorie 3</v>
      </c>
      <c r="G127" s="71"/>
      <c r="H127" s="35"/>
      <c r="I127" s="553">
        <f>ROUND('geg ZO'!J203*VLOOKUP($F127,categoriePersVSO,5,FALSE),0)</f>
        <v>0</v>
      </c>
      <c r="J127" s="553">
        <f>ROUND('geg ZO'!K203*VLOOKUP($F127,categoriePersVSO,5,FALSE),0)</f>
        <v>0</v>
      </c>
      <c r="K127" s="553">
        <f>ROUND('geg ZO'!L203*VLOOKUP($F127,categoriePersVSO,5,FALSE),0)</f>
        <v>0</v>
      </c>
      <c r="L127" s="553">
        <f>ROUND('geg ZO'!M203*VLOOKUP($F127,categoriePersVSO,5,FALSE),0)</f>
        <v>0</v>
      </c>
      <c r="M127" s="553">
        <f>ROUND('geg ZO'!N203*VLOOKUP($F127,categoriePersVSO,5,FALSE),0)</f>
        <v>0</v>
      </c>
      <c r="N127" s="553">
        <f>ROUND('geg ZO'!O203*VLOOKUP($F127,categoriePersVSO,5,FALSE),0)</f>
        <v>0</v>
      </c>
      <c r="O127" s="35"/>
      <c r="P127" s="25"/>
    </row>
    <row r="128" spans="2:16" x14ac:dyDescent="0.2">
      <c r="B128" s="21"/>
      <c r="C128" s="35"/>
      <c r="D128" s="603" t="str">
        <f>+'geg ZO'!D206</f>
        <v>School 29</v>
      </c>
      <c r="E128" s="35"/>
      <c r="F128" s="35" t="str">
        <f>IF('geg ZO'!F206=1,"categorie 1",IF('geg ZO'!F206=2,"categorie 2","categorie 3"))</f>
        <v>categorie 1</v>
      </c>
      <c r="G128" s="71"/>
      <c r="H128" s="35"/>
      <c r="I128" s="553">
        <f>ROUND('geg ZO'!J206*VLOOKUP($F128,categoriePersVSO,5,FALSE),0)</f>
        <v>0</v>
      </c>
      <c r="J128" s="553">
        <f>ROUND('geg ZO'!K206*VLOOKUP($F128,categoriePersVSO,5,FALSE),0)</f>
        <v>0</v>
      </c>
      <c r="K128" s="553">
        <f>ROUND('geg ZO'!L206*VLOOKUP($F128,categoriePersVSO,5,FALSE),0)</f>
        <v>0</v>
      </c>
      <c r="L128" s="553">
        <f>ROUND('geg ZO'!M206*VLOOKUP($F128,categoriePersVSO,5,FALSE),0)</f>
        <v>0</v>
      </c>
      <c r="M128" s="553">
        <f>ROUND('geg ZO'!N206*VLOOKUP($F128,categoriePersVSO,5,FALSE),0)</f>
        <v>0</v>
      </c>
      <c r="N128" s="553">
        <f>ROUND('geg ZO'!O206*VLOOKUP($F128,categoriePersVSO,5,FALSE),0)</f>
        <v>0</v>
      </c>
      <c r="O128" s="35"/>
      <c r="P128" s="25"/>
    </row>
    <row r="129" spans="2:16" x14ac:dyDescent="0.2">
      <c r="B129" s="21"/>
      <c r="C129" s="35"/>
      <c r="D129" s="191"/>
      <c r="E129" s="35"/>
      <c r="F129" s="35" t="str">
        <f>IF('geg ZO'!F207=1,"categorie 1",IF('geg ZO'!F207=2,"categorie 2","categorie 3"))</f>
        <v>categorie 2</v>
      </c>
      <c r="G129" s="71"/>
      <c r="H129" s="35"/>
      <c r="I129" s="553">
        <f>ROUND('geg ZO'!J207*VLOOKUP($F129,categoriePersVSO,5,FALSE),0)</f>
        <v>0</v>
      </c>
      <c r="J129" s="553">
        <f>ROUND('geg ZO'!K207*VLOOKUP($F129,categoriePersVSO,5,FALSE),0)</f>
        <v>0</v>
      </c>
      <c r="K129" s="553">
        <f>ROUND('geg ZO'!L207*VLOOKUP($F129,categoriePersVSO,5,FALSE),0)</f>
        <v>0</v>
      </c>
      <c r="L129" s="553">
        <f>ROUND('geg ZO'!M207*VLOOKUP($F129,categoriePersVSO,5,FALSE),0)</f>
        <v>0</v>
      </c>
      <c r="M129" s="553">
        <f>ROUND('geg ZO'!N207*VLOOKUP($F129,categoriePersVSO,5,FALSE),0)</f>
        <v>0</v>
      </c>
      <c r="N129" s="553">
        <f>ROUND('geg ZO'!O207*VLOOKUP($F129,categoriePersVSO,5,FALSE),0)</f>
        <v>0</v>
      </c>
      <c r="O129" s="35"/>
      <c r="P129" s="25"/>
    </row>
    <row r="130" spans="2:16" x14ac:dyDescent="0.2">
      <c r="B130" s="21"/>
      <c r="C130" s="35"/>
      <c r="D130" s="191"/>
      <c r="E130" s="35"/>
      <c r="F130" s="35" t="str">
        <f>IF('geg ZO'!F208=1,"categorie 1",IF('geg ZO'!F208=2,"categorie 2","categorie 3"))</f>
        <v>categorie 3</v>
      </c>
      <c r="G130" s="71"/>
      <c r="H130" s="35"/>
      <c r="I130" s="553">
        <f>ROUND('geg ZO'!J208*VLOOKUP($F130,categoriePersVSO,5,FALSE),0)</f>
        <v>0</v>
      </c>
      <c r="J130" s="553">
        <f>ROUND('geg ZO'!K208*VLOOKUP($F130,categoriePersVSO,5,FALSE),0)</f>
        <v>0</v>
      </c>
      <c r="K130" s="553">
        <f>ROUND('geg ZO'!L208*VLOOKUP($F130,categoriePersVSO,5,FALSE),0)</f>
        <v>0</v>
      </c>
      <c r="L130" s="553">
        <f>ROUND('geg ZO'!M208*VLOOKUP($F130,categoriePersVSO,5,FALSE),0)</f>
        <v>0</v>
      </c>
      <c r="M130" s="553">
        <f>ROUND('geg ZO'!N208*VLOOKUP($F130,categoriePersVSO,5,FALSE),0)</f>
        <v>0</v>
      </c>
      <c r="N130" s="553">
        <f>ROUND('geg ZO'!O208*VLOOKUP($F130,categoriePersVSO,5,FALSE),0)</f>
        <v>0</v>
      </c>
      <c r="O130" s="35"/>
      <c r="P130" s="25"/>
    </row>
    <row r="131" spans="2:16" x14ac:dyDescent="0.2">
      <c r="B131" s="21"/>
      <c r="C131" s="35"/>
      <c r="D131" s="603" t="str">
        <f>+'geg ZO'!D211</f>
        <v>School 30</v>
      </c>
      <c r="E131" s="35"/>
      <c r="F131" s="35" t="str">
        <f>IF('geg ZO'!F211=1,"categorie 1",IF('geg ZO'!F211=2,"categorie 2","categorie 3"))</f>
        <v>categorie 1</v>
      </c>
      <c r="G131" s="71"/>
      <c r="H131" s="35"/>
      <c r="I131" s="553">
        <f>ROUND('geg ZO'!J211*VLOOKUP($F131,categoriePersVSO,5,FALSE),0)</f>
        <v>0</v>
      </c>
      <c r="J131" s="553">
        <f>ROUND('geg ZO'!K211*VLOOKUP($F131,categoriePersVSO,5,FALSE),0)</f>
        <v>0</v>
      </c>
      <c r="K131" s="553">
        <f>ROUND('geg ZO'!L211*VLOOKUP($F131,categoriePersVSO,5,FALSE),0)</f>
        <v>0</v>
      </c>
      <c r="L131" s="553">
        <f>ROUND('geg ZO'!M211*VLOOKUP($F131,categoriePersVSO,5,FALSE),0)</f>
        <v>0</v>
      </c>
      <c r="M131" s="553">
        <f>ROUND('geg ZO'!N211*VLOOKUP($F131,categoriePersVSO,5,FALSE),0)</f>
        <v>0</v>
      </c>
      <c r="N131" s="553">
        <f>ROUND('geg ZO'!O211*VLOOKUP($F131,categoriePersVSO,5,FALSE),0)</f>
        <v>0</v>
      </c>
      <c r="O131" s="35"/>
      <c r="P131" s="25"/>
    </row>
    <row r="132" spans="2:16" x14ac:dyDescent="0.2">
      <c r="B132" s="21"/>
      <c r="C132" s="35"/>
      <c r="D132" s="191"/>
      <c r="E132" s="35"/>
      <c r="F132" s="35" t="str">
        <f>IF('geg ZO'!F212=1,"categorie 1",IF('geg ZO'!F212=2,"categorie 2","categorie 3"))</f>
        <v>categorie 2</v>
      </c>
      <c r="G132" s="71"/>
      <c r="H132" s="35"/>
      <c r="I132" s="553">
        <f>ROUND('geg ZO'!J212*VLOOKUP($F132,categoriePersVSO,5,FALSE),0)</f>
        <v>0</v>
      </c>
      <c r="J132" s="553">
        <f>ROUND('geg ZO'!K212*VLOOKUP($F132,categoriePersVSO,5,FALSE),0)</f>
        <v>0</v>
      </c>
      <c r="K132" s="553">
        <f>ROUND('geg ZO'!L212*VLOOKUP($F132,categoriePersVSO,5,FALSE),0)</f>
        <v>0</v>
      </c>
      <c r="L132" s="553">
        <f>ROUND('geg ZO'!M212*VLOOKUP($F132,categoriePersVSO,5,FALSE),0)</f>
        <v>0</v>
      </c>
      <c r="M132" s="553">
        <f>ROUND('geg ZO'!N212*VLOOKUP($F132,categoriePersVSO,5,FALSE),0)</f>
        <v>0</v>
      </c>
      <c r="N132" s="553">
        <f>ROUND('geg ZO'!O212*VLOOKUP($F132,categoriePersVSO,5,FALSE),0)</f>
        <v>0</v>
      </c>
      <c r="O132" s="35"/>
      <c r="P132" s="25"/>
    </row>
    <row r="133" spans="2:16" x14ac:dyDescent="0.2">
      <c r="B133" s="21"/>
      <c r="C133" s="35"/>
      <c r="D133" s="191"/>
      <c r="E133" s="35"/>
      <c r="F133" s="35" t="str">
        <f>IF('geg ZO'!F213=1,"categorie 1",IF('geg ZO'!F213=2,"categorie 2","categorie 3"))</f>
        <v>categorie 3</v>
      </c>
      <c r="G133" s="71"/>
      <c r="H133" s="35"/>
      <c r="I133" s="553">
        <f>ROUND('geg ZO'!J213*VLOOKUP($F133,categoriePersVSO,5,FALSE),0)</f>
        <v>0</v>
      </c>
      <c r="J133" s="553">
        <f>ROUND('geg ZO'!K213*VLOOKUP($F133,categoriePersVSO,5,FALSE),0)</f>
        <v>0</v>
      </c>
      <c r="K133" s="553">
        <f>ROUND('geg ZO'!L213*VLOOKUP($F133,categoriePersVSO,5,FALSE),0)</f>
        <v>0</v>
      </c>
      <c r="L133" s="553">
        <f>ROUND('geg ZO'!M213*VLOOKUP($F133,categoriePersVSO,5,FALSE),0)</f>
        <v>0</v>
      </c>
      <c r="M133" s="553">
        <f>ROUND('geg ZO'!N213*VLOOKUP($F133,categoriePersVSO,5,FALSE),0)</f>
        <v>0</v>
      </c>
      <c r="N133" s="553">
        <f>ROUND('geg ZO'!O213*VLOOKUP($F133,categoriePersVSO,5,FALSE),0)</f>
        <v>0</v>
      </c>
      <c r="O133" s="35"/>
      <c r="P133" s="25"/>
    </row>
    <row r="134" spans="2:16" x14ac:dyDescent="0.2">
      <c r="B134" s="21"/>
      <c r="C134" s="35"/>
      <c r="D134" s="603" t="str">
        <f>+'geg ZO'!D216</f>
        <v>School 31</v>
      </c>
      <c r="E134" s="35"/>
      <c r="F134" s="35" t="str">
        <f>IF('geg ZO'!F216=1,"categorie 1",IF('geg ZO'!F216=2,"categorie 2","categorie 3"))</f>
        <v>categorie 1</v>
      </c>
      <c r="G134" s="71"/>
      <c r="H134" s="35"/>
      <c r="I134" s="553">
        <f>ROUND('geg ZO'!J216*VLOOKUP($F134,categoriePersVSO,5,FALSE),0)</f>
        <v>0</v>
      </c>
      <c r="J134" s="553">
        <f>ROUND('geg ZO'!K216*VLOOKUP($F134,categoriePersVSO,5,FALSE),0)</f>
        <v>0</v>
      </c>
      <c r="K134" s="553">
        <f>ROUND('geg ZO'!L216*VLOOKUP($F134,categoriePersVSO,5,FALSE),0)</f>
        <v>0</v>
      </c>
      <c r="L134" s="553">
        <f>ROUND('geg ZO'!M216*VLOOKUP($F134,categoriePersVSO,5,FALSE),0)</f>
        <v>0</v>
      </c>
      <c r="M134" s="553">
        <f>ROUND('geg ZO'!N216*VLOOKUP($F134,categoriePersVSO,5,FALSE),0)</f>
        <v>0</v>
      </c>
      <c r="N134" s="553">
        <f>ROUND('geg ZO'!O216*VLOOKUP($F134,categoriePersVSO,5,FALSE),0)</f>
        <v>0</v>
      </c>
      <c r="O134" s="35"/>
      <c r="P134" s="25"/>
    </row>
    <row r="135" spans="2:16" x14ac:dyDescent="0.2">
      <c r="B135" s="21"/>
      <c r="C135" s="35"/>
      <c r="D135" s="191"/>
      <c r="E135" s="35"/>
      <c r="F135" s="35" t="str">
        <f>IF('geg ZO'!F217=1,"categorie 1",IF('geg ZO'!F217=2,"categorie 2","categorie 3"))</f>
        <v>categorie 2</v>
      </c>
      <c r="G135" s="71"/>
      <c r="H135" s="35"/>
      <c r="I135" s="553">
        <f>ROUND('geg ZO'!J217*VLOOKUP($F135,categoriePersVSO,5,FALSE),0)</f>
        <v>0</v>
      </c>
      <c r="J135" s="553">
        <f>ROUND('geg ZO'!K217*VLOOKUP($F135,categoriePersVSO,5,FALSE),0)</f>
        <v>0</v>
      </c>
      <c r="K135" s="553">
        <f>ROUND('geg ZO'!L217*VLOOKUP($F135,categoriePersVSO,5,FALSE),0)</f>
        <v>0</v>
      </c>
      <c r="L135" s="553">
        <f>ROUND('geg ZO'!M217*VLOOKUP($F135,categoriePersVSO,5,FALSE),0)</f>
        <v>0</v>
      </c>
      <c r="M135" s="553">
        <f>ROUND('geg ZO'!N217*VLOOKUP($F135,categoriePersVSO,5,FALSE),0)</f>
        <v>0</v>
      </c>
      <c r="N135" s="553">
        <f>ROUND('geg ZO'!O217*VLOOKUP($F135,categoriePersVSO,5,FALSE),0)</f>
        <v>0</v>
      </c>
      <c r="O135" s="35"/>
      <c r="P135" s="25"/>
    </row>
    <row r="136" spans="2:16" x14ac:dyDescent="0.2">
      <c r="B136" s="21"/>
      <c r="C136" s="35"/>
      <c r="D136" s="191"/>
      <c r="E136" s="35"/>
      <c r="F136" s="35" t="str">
        <f>IF('geg ZO'!F218=1,"categorie 1",IF('geg ZO'!F218=2,"categorie 2","categorie 3"))</f>
        <v>categorie 3</v>
      </c>
      <c r="G136" s="71"/>
      <c r="H136" s="35"/>
      <c r="I136" s="553">
        <f>ROUND('geg ZO'!J218*VLOOKUP($F136,categoriePersVSO,5,FALSE),0)</f>
        <v>0</v>
      </c>
      <c r="J136" s="553">
        <f>ROUND('geg ZO'!K218*VLOOKUP($F136,categoriePersVSO,5,FALSE),0)</f>
        <v>0</v>
      </c>
      <c r="K136" s="553">
        <f>ROUND('geg ZO'!L218*VLOOKUP($F136,categoriePersVSO,5,FALSE),0)</f>
        <v>0</v>
      </c>
      <c r="L136" s="553">
        <f>ROUND('geg ZO'!M218*VLOOKUP($F136,categoriePersVSO,5,FALSE),0)</f>
        <v>0</v>
      </c>
      <c r="M136" s="553">
        <f>ROUND('geg ZO'!N218*VLOOKUP($F136,categoriePersVSO,5,FALSE),0)</f>
        <v>0</v>
      </c>
      <c r="N136" s="553">
        <f>ROUND('geg ZO'!O218*VLOOKUP($F136,categoriePersVSO,5,FALSE),0)</f>
        <v>0</v>
      </c>
      <c r="O136" s="35"/>
      <c r="P136" s="25"/>
    </row>
    <row r="137" spans="2:16" x14ac:dyDescent="0.2">
      <c r="B137" s="21"/>
      <c r="C137" s="35"/>
      <c r="D137" s="603" t="str">
        <f>+'geg ZO'!D221</f>
        <v>School 32</v>
      </c>
      <c r="E137" s="35"/>
      <c r="F137" s="35" t="str">
        <f>IF('geg ZO'!F221=1,"categorie 1",IF('geg ZO'!F221=2,"categorie 2","categorie 3"))</f>
        <v>categorie 1</v>
      </c>
      <c r="G137" s="71"/>
      <c r="H137" s="35"/>
      <c r="I137" s="553">
        <f>ROUND('geg ZO'!J221*VLOOKUP($F137,categoriePersVSO,5,FALSE),0)</f>
        <v>0</v>
      </c>
      <c r="J137" s="553">
        <f>ROUND('geg ZO'!K221*VLOOKUP($F137,categoriePersVSO,5,FALSE),0)</f>
        <v>0</v>
      </c>
      <c r="K137" s="553">
        <f>ROUND('geg ZO'!L221*VLOOKUP($F137,categoriePersVSO,5,FALSE),0)</f>
        <v>0</v>
      </c>
      <c r="L137" s="553">
        <f>ROUND('geg ZO'!M221*VLOOKUP($F137,categoriePersVSO,5,FALSE),0)</f>
        <v>0</v>
      </c>
      <c r="M137" s="553">
        <f>ROUND('geg ZO'!N221*VLOOKUP($F137,categoriePersVSO,5,FALSE),0)</f>
        <v>0</v>
      </c>
      <c r="N137" s="553">
        <f>ROUND('geg ZO'!O221*VLOOKUP($F137,categoriePersVSO,5,FALSE),0)</f>
        <v>0</v>
      </c>
      <c r="O137" s="35"/>
      <c r="P137" s="25"/>
    </row>
    <row r="138" spans="2:16" x14ac:dyDescent="0.2">
      <c r="B138" s="21"/>
      <c r="C138" s="35"/>
      <c r="D138" s="191"/>
      <c r="E138" s="35"/>
      <c r="F138" s="35" t="str">
        <f>IF('geg ZO'!F222=1,"categorie 1",IF('geg ZO'!F222=2,"categorie 2","categorie 3"))</f>
        <v>categorie 2</v>
      </c>
      <c r="G138" s="71"/>
      <c r="H138" s="35"/>
      <c r="I138" s="553">
        <f>ROUND('geg ZO'!J222*VLOOKUP($F138,categoriePersVSO,5,FALSE),0)</f>
        <v>0</v>
      </c>
      <c r="J138" s="553">
        <f>ROUND('geg ZO'!K222*VLOOKUP($F138,categoriePersVSO,5,FALSE),0)</f>
        <v>0</v>
      </c>
      <c r="K138" s="553">
        <f>ROUND('geg ZO'!L222*VLOOKUP($F138,categoriePersVSO,5,FALSE),0)</f>
        <v>0</v>
      </c>
      <c r="L138" s="553">
        <f>ROUND('geg ZO'!M222*VLOOKUP($F138,categoriePersVSO,5,FALSE),0)</f>
        <v>0</v>
      </c>
      <c r="M138" s="553">
        <f>ROUND('geg ZO'!N222*VLOOKUP($F138,categoriePersVSO,5,FALSE),0)</f>
        <v>0</v>
      </c>
      <c r="N138" s="553">
        <f>ROUND('geg ZO'!O222*VLOOKUP($F138,categoriePersVSO,5,FALSE),0)</f>
        <v>0</v>
      </c>
      <c r="O138" s="35"/>
      <c r="P138" s="25"/>
    </row>
    <row r="139" spans="2:16" x14ac:dyDescent="0.2">
      <c r="B139" s="21"/>
      <c r="C139" s="35"/>
      <c r="D139" s="191"/>
      <c r="E139" s="35"/>
      <c r="F139" s="35" t="str">
        <f>IF('geg ZO'!F223=1,"categorie 1",IF('geg ZO'!F223=2,"categorie 2","categorie 3"))</f>
        <v>categorie 3</v>
      </c>
      <c r="G139" s="71"/>
      <c r="H139" s="35"/>
      <c r="I139" s="553">
        <f>ROUND('geg ZO'!J223*VLOOKUP($F139,categoriePersVSO,5,FALSE),0)</f>
        <v>0</v>
      </c>
      <c r="J139" s="553">
        <f>ROUND('geg ZO'!K223*VLOOKUP($F139,categoriePersVSO,5,FALSE),0)</f>
        <v>0</v>
      </c>
      <c r="K139" s="553">
        <f>ROUND('geg ZO'!L223*VLOOKUP($F139,categoriePersVSO,5,FALSE),0)</f>
        <v>0</v>
      </c>
      <c r="L139" s="553">
        <f>ROUND('geg ZO'!M223*VLOOKUP($F139,categoriePersVSO,5,FALSE),0)</f>
        <v>0</v>
      </c>
      <c r="M139" s="553">
        <f>ROUND('geg ZO'!N223*VLOOKUP($F139,categoriePersVSO,5,FALSE),0)</f>
        <v>0</v>
      </c>
      <c r="N139" s="553">
        <f>ROUND('geg ZO'!O223*VLOOKUP($F139,categoriePersVSO,5,FALSE),0)</f>
        <v>0</v>
      </c>
      <c r="O139" s="35"/>
      <c r="P139" s="25"/>
    </row>
    <row r="140" spans="2:16" x14ac:dyDescent="0.2">
      <c r="B140" s="21"/>
      <c r="C140" s="35"/>
      <c r="D140" s="603" t="str">
        <f>+'geg ZO'!D226</f>
        <v>School 33</v>
      </c>
      <c r="E140" s="35"/>
      <c r="F140" s="35" t="str">
        <f>IF('geg ZO'!F226=1,"categorie 1",IF('geg ZO'!F226=2,"categorie 2","categorie 3"))</f>
        <v>categorie 1</v>
      </c>
      <c r="G140" s="71"/>
      <c r="H140" s="35"/>
      <c r="I140" s="553">
        <f>ROUND('geg ZO'!J226*VLOOKUP($F140,categoriePersVSO,5,FALSE),0)</f>
        <v>0</v>
      </c>
      <c r="J140" s="553">
        <f>ROUND('geg ZO'!K226*VLOOKUP($F140,categoriePersVSO,5,FALSE),0)</f>
        <v>0</v>
      </c>
      <c r="K140" s="553">
        <f>ROUND('geg ZO'!L226*VLOOKUP($F140,categoriePersVSO,5,FALSE),0)</f>
        <v>0</v>
      </c>
      <c r="L140" s="553">
        <f>ROUND('geg ZO'!M226*VLOOKUP($F140,categoriePersVSO,5,FALSE),0)</f>
        <v>0</v>
      </c>
      <c r="M140" s="553">
        <f>ROUND('geg ZO'!N226*VLOOKUP($F140,categoriePersVSO,5,FALSE),0)</f>
        <v>0</v>
      </c>
      <c r="N140" s="553">
        <f>ROUND('geg ZO'!O226*VLOOKUP($F140,categoriePersVSO,5,FALSE),0)</f>
        <v>0</v>
      </c>
      <c r="O140" s="35"/>
      <c r="P140" s="25"/>
    </row>
    <row r="141" spans="2:16" x14ac:dyDescent="0.2">
      <c r="B141" s="21"/>
      <c r="C141" s="35"/>
      <c r="D141" s="191"/>
      <c r="E141" s="35"/>
      <c r="F141" s="35" t="str">
        <f>IF('geg ZO'!F227=1,"categorie 1",IF('geg ZO'!F227=2,"categorie 2","categorie 3"))</f>
        <v>categorie 2</v>
      </c>
      <c r="G141" s="71"/>
      <c r="H141" s="35"/>
      <c r="I141" s="553">
        <f>ROUND('geg ZO'!J227*VLOOKUP($F141,categoriePersVSO,5,FALSE),0)</f>
        <v>0</v>
      </c>
      <c r="J141" s="553">
        <f>ROUND('geg ZO'!K227*VLOOKUP($F141,categoriePersVSO,5,FALSE),0)</f>
        <v>0</v>
      </c>
      <c r="K141" s="553">
        <f>ROUND('geg ZO'!L227*VLOOKUP($F141,categoriePersVSO,5,FALSE),0)</f>
        <v>0</v>
      </c>
      <c r="L141" s="553">
        <f>ROUND('geg ZO'!M227*VLOOKUP($F141,categoriePersVSO,5,FALSE),0)</f>
        <v>0</v>
      </c>
      <c r="M141" s="553">
        <f>ROUND('geg ZO'!N227*VLOOKUP($F141,categoriePersVSO,5,FALSE),0)</f>
        <v>0</v>
      </c>
      <c r="N141" s="553">
        <f>ROUND('geg ZO'!O227*VLOOKUP($F141,categoriePersVSO,5,FALSE),0)</f>
        <v>0</v>
      </c>
      <c r="O141" s="35"/>
      <c r="P141" s="25"/>
    </row>
    <row r="142" spans="2:16" x14ac:dyDescent="0.2">
      <c r="B142" s="21"/>
      <c r="C142" s="35"/>
      <c r="D142" s="191"/>
      <c r="E142" s="35"/>
      <c r="F142" s="35" t="str">
        <f>IF('geg ZO'!F228=1,"categorie 1",IF('geg ZO'!F228=2,"categorie 2","categorie 3"))</f>
        <v>categorie 3</v>
      </c>
      <c r="G142" s="71"/>
      <c r="H142" s="35"/>
      <c r="I142" s="553">
        <f>ROUND('geg ZO'!J228*VLOOKUP($F142,categoriePersVSO,5,FALSE),0)</f>
        <v>0</v>
      </c>
      <c r="J142" s="553">
        <f>ROUND('geg ZO'!K228*VLOOKUP($F142,categoriePersVSO,5,FALSE),0)</f>
        <v>0</v>
      </c>
      <c r="K142" s="553">
        <f>ROUND('geg ZO'!L228*VLOOKUP($F142,categoriePersVSO,5,FALSE),0)</f>
        <v>0</v>
      </c>
      <c r="L142" s="553">
        <f>ROUND('geg ZO'!M228*VLOOKUP($F142,categoriePersVSO,5,FALSE),0)</f>
        <v>0</v>
      </c>
      <c r="M142" s="553">
        <f>ROUND('geg ZO'!N228*VLOOKUP($F142,categoriePersVSO,5,FALSE),0)</f>
        <v>0</v>
      </c>
      <c r="N142" s="553">
        <f>ROUND('geg ZO'!O228*VLOOKUP($F142,categoriePersVSO,5,FALSE),0)</f>
        <v>0</v>
      </c>
      <c r="O142" s="35"/>
      <c r="P142" s="25"/>
    </row>
    <row r="143" spans="2:16" x14ac:dyDescent="0.2">
      <c r="B143" s="21"/>
      <c r="C143" s="35"/>
      <c r="D143" s="603" t="str">
        <f>+'geg ZO'!D231</f>
        <v>School 34</v>
      </c>
      <c r="E143" s="35"/>
      <c r="F143" s="35" t="str">
        <f>IF('geg ZO'!F231=1,"categorie 1",IF('geg ZO'!F231=2,"categorie 2","categorie 3"))</f>
        <v>categorie 1</v>
      </c>
      <c r="G143" s="71"/>
      <c r="H143" s="35"/>
      <c r="I143" s="553">
        <f>ROUND('geg ZO'!J231*VLOOKUP($F143,categoriePersVSO,5,FALSE),0)</f>
        <v>0</v>
      </c>
      <c r="J143" s="553">
        <f>ROUND('geg ZO'!K231*VLOOKUP($F143,categoriePersVSO,5,FALSE),0)</f>
        <v>0</v>
      </c>
      <c r="K143" s="553">
        <f>ROUND('geg ZO'!L231*VLOOKUP($F143,categoriePersVSO,5,FALSE),0)</f>
        <v>0</v>
      </c>
      <c r="L143" s="553">
        <f>ROUND('geg ZO'!M231*VLOOKUP($F143,categoriePersVSO,5,FALSE),0)</f>
        <v>0</v>
      </c>
      <c r="M143" s="553">
        <f>ROUND('geg ZO'!N231*VLOOKUP($F143,categoriePersVSO,5,FALSE),0)</f>
        <v>0</v>
      </c>
      <c r="N143" s="553">
        <f>ROUND('geg ZO'!O231*VLOOKUP($F143,categoriePersVSO,5,FALSE),0)</f>
        <v>0</v>
      </c>
      <c r="O143" s="35"/>
      <c r="P143" s="25"/>
    </row>
    <row r="144" spans="2:16" x14ac:dyDescent="0.2">
      <c r="B144" s="21"/>
      <c r="C144" s="35"/>
      <c r="D144" s="191"/>
      <c r="E144" s="35"/>
      <c r="F144" s="35" t="str">
        <f>IF('geg ZO'!F232=1,"categorie 1",IF('geg ZO'!F232=2,"categorie 2","categorie 3"))</f>
        <v>categorie 2</v>
      </c>
      <c r="G144" s="71"/>
      <c r="H144" s="35"/>
      <c r="I144" s="553">
        <f>ROUND('geg ZO'!J232*VLOOKUP($F144,categoriePersVSO,5,FALSE),0)</f>
        <v>0</v>
      </c>
      <c r="J144" s="553">
        <f>ROUND('geg ZO'!K232*VLOOKUP($F144,categoriePersVSO,5,FALSE),0)</f>
        <v>0</v>
      </c>
      <c r="K144" s="553">
        <f>ROUND('geg ZO'!L232*VLOOKUP($F144,categoriePersVSO,5,FALSE),0)</f>
        <v>0</v>
      </c>
      <c r="L144" s="553">
        <f>ROUND('geg ZO'!M232*VLOOKUP($F144,categoriePersVSO,5,FALSE),0)</f>
        <v>0</v>
      </c>
      <c r="M144" s="553">
        <f>ROUND('geg ZO'!N232*VLOOKUP($F144,categoriePersVSO,5,FALSE),0)</f>
        <v>0</v>
      </c>
      <c r="N144" s="553">
        <f>ROUND('geg ZO'!O232*VLOOKUP($F144,categoriePersVSO,5,FALSE),0)</f>
        <v>0</v>
      </c>
      <c r="O144" s="35"/>
      <c r="P144" s="25"/>
    </row>
    <row r="145" spans="2:16" x14ac:dyDescent="0.2">
      <c r="B145" s="21"/>
      <c r="C145" s="35"/>
      <c r="D145" s="191"/>
      <c r="E145" s="35"/>
      <c r="F145" s="35" t="str">
        <f>IF('geg ZO'!F233=1,"categorie 1",IF('geg ZO'!F233=2,"categorie 2","categorie 3"))</f>
        <v>categorie 3</v>
      </c>
      <c r="G145" s="71"/>
      <c r="H145" s="35"/>
      <c r="I145" s="553">
        <f>ROUND('geg ZO'!J233*VLOOKUP($F145,categoriePersVSO,5,FALSE),0)</f>
        <v>0</v>
      </c>
      <c r="J145" s="553">
        <f>ROUND('geg ZO'!K233*VLOOKUP($F145,categoriePersVSO,5,FALSE),0)</f>
        <v>0</v>
      </c>
      <c r="K145" s="553">
        <f>ROUND('geg ZO'!L233*VLOOKUP($F145,categoriePersVSO,5,FALSE),0)</f>
        <v>0</v>
      </c>
      <c r="L145" s="553">
        <f>ROUND('geg ZO'!M233*VLOOKUP($F145,categoriePersVSO,5,FALSE),0)</f>
        <v>0</v>
      </c>
      <c r="M145" s="553">
        <f>ROUND('geg ZO'!N233*VLOOKUP($F145,categoriePersVSO,5,FALSE),0)</f>
        <v>0</v>
      </c>
      <c r="N145" s="553">
        <f>ROUND('geg ZO'!O233*VLOOKUP($F145,categoriePersVSO,5,FALSE),0)</f>
        <v>0</v>
      </c>
      <c r="O145" s="35"/>
      <c r="P145" s="25"/>
    </row>
    <row r="146" spans="2:16" x14ac:dyDescent="0.2">
      <c r="B146" s="21"/>
      <c r="C146" s="35"/>
      <c r="D146" s="603" t="str">
        <f>+'geg ZO'!D236</f>
        <v>School 35</v>
      </c>
      <c r="E146" s="35"/>
      <c r="F146" s="35" t="str">
        <f>IF('geg ZO'!F236=1,"categorie 1",IF('geg ZO'!F236=2,"categorie 2","categorie 3"))</f>
        <v>categorie 1</v>
      </c>
      <c r="G146" s="71"/>
      <c r="H146" s="35"/>
      <c r="I146" s="553">
        <f>ROUND('geg ZO'!J236*VLOOKUP($F146,categoriePersVSO,5,FALSE),0)</f>
        <v>0</v>
      </c>
      <c r="J146" s="553">
        <f>ROUND('geg ZO'!K236*VLOOKUP($F146,categoriePersVSO,5,FALSE),0)</f>
        <v>0</v>
      </c>
      <c r="K146" s="553">
        <f>ROUND('geg ZO'!L236*VLOOKUP($F146,categoriePersVSO,5,FALSE),0)</f>
        <v>0</v>
      </c>
      <c r="L146" s="553">
        <f>ROUND('geg ZO'!M236*VLOOKUP($F146,categoriePersVSO,5,FALSE),0)</f>
        <v>0</v>
      </c>
      <c r="M146" s="553">
        <f>ROUND('geg ZO'!N236*VLOOKUP($F146,categoriePersVSO,5,FALSE),0)</f>
        <v>0</v>
      </c>
      <c r="N146" s="553">
        <f>ROUND('geg ZO'!O236*VLOOKUP($F146,categoriePersVSO,5,FALSE),0)</f>
        <v>0</v>
      </c>
      <c r="O146" s="35"/>
      <c r="P146" s="25"/>
    </row>
    <row r="147" spans="2:16" x14ac:dyDescent="0.2">
      <c r="B147" s="21"/>
      <c r="C147" s="35"/>
      <c r="D147" s="191"/>
      <c r="E147" s="35"/>
      <c r="F147" s="35" t="str">
        <f>IF('geg ZO'!F237=1,"categorie 1",IF('geg ZO'!F237=2,"categorie 2","categorie 3"))</f>
        <v>categorie 2</v>
      </c>
      <c r="G147" s="71"/>
      <c r="H147" s="35"/>
      <c r="I147" s="553">
        <f>ROUND('geg ZO'!J237*VLOOKUP($F147,categoriePersVSO,5,FALSE),0)</f>
        <v>0</v>
      </c>
      <c r="J147" s="553">
        <f>ROUND('geg ZO'!K237*VLOOKUP($F147,categoriePersVSO,5,FALSE),0)</f>
        <v>0</v>
      </c>
      <c r="K147" s="553">
        <f>ROUND('geg ZO'!L237*VLOOKUP($F147,categoriePersVSO,5,FALSE),0)</f>
        <v>0</v>
      </c>
      <c r="L147" s="553">
        <f>ROUND('geg ZO'!M237*VLOOKUP($F147,categoriePersVSO,5,FALSE),0)</f>
        <v>0</v>
      </c>
      <c r="M147" s="553">
        <f>ROUND('geg ZO'!N237*VLOOKUP($F147,categoriePersVSO,5,FALSE),0)</f>
        <v>0</v>
      </c>
      <c r="N147" s="553">
        <f>ROUND('geg ZO'!O237*VLOOKUP($F147,categoriePersVSO,5,FALSE),0)</f>
        <v>0</v>
      </c>
      <c r="O147" s="35"/>
      <c r="P147" s="25"/>
    </row>
    <row r="148" spans="2:16" x14ac:dyDescent="0.2">
      <c r="B148" s="21"/>
      <c r="C148" s="35"/>
      <c r="D148" s="191"/>
      <c r="E148" s="35"/>
      <c r="F148" s="35" t="str">
        <f>IF('geg ZO'!F238=1,"categorie 1",IF('geg ZO'!F238=2,"categorie 2","categorie 3"))</f>
        <v>categorie 3</v>
      </c>
      <c r="G148" s="71"/>
      <c r="H148" s="35"/>
      <c r="I148" s="553">
        <f>ROUND('geg ZO'!J238*VLOOKUP($F148,categoriePersVSO,5,FALSE),0)</f>
        <v>0</v>
      </c>
      <c r="J148" s="553">
        <f>ROUND('geg ZO'!K238*VLOOKUP($F148,categoriePersVSO,5,FALSE),0)</f>
        <v>0</v>
      </c>
      <c r="K148" s="553">
        <f>ROUND('geg ZO'!L238*VLOOKUP($F148,categoriePersVSO,5,FALSE),0)</f>
        <v>0</v>
      </c>
      <c r="L148" s="553">
        <f>ROUND('geg ZO'!M238*VLOOKUP($F148,categoriePersVSO,5,FALSE),0)</f>
        <v>0</v>
      </c>
      <c r="M148" s="553">
        <f>ROUND('geg ZO'!N238*VLOOKUP($F148,categoriePersVSO,5,FALSE),0)</f>
        <v>0</v>
      </c>
      <c r="N148" s="553">
        <f>ROUND('geg ZO'!O238*VLOOKUP($F148,categoriePersVSO,5,FALSE),0)</f>
        <v>0</v>
      </c>
      <c r="O148" s="35"/>
      <c r="P148" s="25"/>
    </row>
    <row r="149" spans="2:16" x14ac:dyDescent="0.2">
      <c r="B149" s="21"/>
      <c r="C149" s="35"/>
      <c r="D149" s="191"/>
      <c r="E149" s="859"/>
      <c r="F149" s="859"/>
      <c r="G149" s="859"/>
      <c r="H149" s="859"/>
      <c r="I149" s="859"/>
      <c r="J149" s="859"/>
      <c r="K149" s="859"/>
      <c r="L149" s="859"/>
      <c r="M149" s="859"/>
      <c r="N149" s="859"/>
      <c r="O149" s="859"/>
      <c r="P149" s="25"/>
    </row>
    <row r="150" spans="2:16" x14ac:dyDescent="0.2">
      <c r="B150" s="21"/>
      <c r="C150" s="35"/>
      <c r="D150" s="199" t="s">
        <v>14</v>
      </c>
      <c r="E150" s="35"/>
      <c r="F150" s="37"/>
      <c r="G150" s="37"/>
      <c r="H150" s="35"/>
      <c r="I150" s="552">
        <f t="shared" ref="I150:N150" si="8">SUM(I44:I88)+SUM(I89:I148)</f>
        <v>0</v>
      </c>
      <c r="J150" s="552">
        <f t="shared" si="8"/>
        <v>0</v>
      </c>
      <c r="K150" s="552">
        <f t="shared" si="8"/>
        <v>0</v>
      </c>
      <c r="L150" s="552">
        <f t="shared" si="8"/>
        <v>0</v>
      </c>
      <c r="M150" s="552">
        <f t="shared" si="8"/>
        <v>0</v>
      </c>
      <c r="N150" s="552">
        <f t="shared" si="8"/>
        <v>0</v>
      </c>
      <c r="O150" s="35"/>
      <c r="P150" s="25"/>
    </row>
    <row r="151" spans="2:16" x14ac:dyDescent="0.2">
      <c r="B151" s="21"/>
      <c r="C151" s="35"/>
      <c r="D151" s="199"/>
      <c r="E151" s="35"/>
      <c r="F151" s="37"/>
      <c r="G151" s="37"/>
      <c r="H151" s="35"/>
      <c r="I151" s="407"/>
      <c r="J151" s="398"/>
      <c r="K151" s="407"/>
      <c r="L151" s="407"/>
      <c r="M151" s="407"/>
      <c r="N151" s="407"/>
      <c r="O151" s="35"/>
      <c r="P151" s="25"/>
    </row>
    <row r="152" spans="2:16" x14ac:dyDescent="0.2">
      <c r="B152" s="21"/>
      <c r="C152" s="22"/>
      <c r="D152" s="77"/>
      <c r="E152" s="22"/>
      <c r="F152" s="22"/>
      <c r="G152" s="22"/>
      <c r="H152" s="22"/>
      <c r="I152" s="161"/>
      <c r="J152" s="161"/>
      <c r="K152" s="161"/>
      <c r="L152" s="161"/>
      <c r="M152" s="161"/>
      <c r="N152" s="161"/>
      <c r="O152" s="22"/>
      <c r="P152" s="25"/>
    </row>
    <row r="153" spans="2:16" x14ac:dyDescent="0.2">
      <c r="B153" s="21"/>
      <c r="C153" s="163"/>
      <c r="D153" s="83"/>
      <c r="E153" s="163"/>
      <c r="F153" s="163"/>
      <c r="G153" s="163"/>
      <c r="H153" s="163"/>
      <c r="I153" s="164"/>
      <c r="J153" s="164"/>
      <c r="K153" s="164"/>
      <c r="L153" s="164"/>
      <c r="M153" s="164"/>
      <c r="N153" s="164"/>
      <c r="O153" s="163"/>
      <c r="P153" s="25"/>
    </row>
    <row r="154" spans="2:16" x14ac:dyDescent="0.2">
      <c r="B154" s="18"/>
      <c r="C154" s="19"/>
      <c r="D154" s="73"/>
      <c r="E154" s="19"/>
      <c r="F154" s="19"/>
      <c r="G154" s="19"/>
      <c r="H154" s="19"/>
      <c r="I154" s="162"/>
      <c r="J154" s="162"/>
      <c r="K154" s="162"/>
      <c r="L154" s="162"/>
      <c r="M154" s="162"/>
      <c r="N154" s="162"/>
      <c r="O154" s="19"/>
      <c r="P154" s="20"/>
    </row>
    <row r="155" spans="2:16" x14ac:dyDescent="0.2">
      <c r="B155" s="21"/>
      <c r="C155" s="22"/>
      <c r="D155" s="627"/>
      <c r="E155" s="595" t="s">
        <v>163</v>
      </c>
      <c r="F155" s="203"/>
      <c r="G155" s="203"/>
      <c r="H155" s="595" t="s">
        <v>163</v>
      </c>
      <c r="I155" s="597">
        <f>tab!E4</f>
        <v>2015</v>
      </c>
      <c r="J155" s="597">
        <f>tab!F4</f>
        <v>2016</v>
      </c>
      <c r="K155" s="597">
        <f>tab!G4</f>
        <v>2017</v>
      </c>
      <c r="L155" s="597">
        <f>tab!H4</f>
        <v>2018</v>
      </c>
      <c r="M155" s="597">
        <f>tab!I4</f>
        <v>2019</v>
      </c>
      <c r="N155" s="597">
        <f>tab!J4</f>
        <v>2020</v>
      </c>
      <c r="O155" s="22"/>
      <c r="P155" s="25"/>
    </row>
    <row r="156" spans="2:16" x14ac:dyDescent="0.2">
      <c r="B156" s="21"/>
      <c r="C156" s="22"/>
      <c r="D156" s="77"/>
      <c r="E156" s="22"/>
      <c r="F156" s="22"/>
      <c r="G156" s="22"/>
      <c r="H156" s="22"/>
      <c r="I156" s="161"/>
      <c r="J156" s="161"/>
      <c r="K156" s="161"/>
      <c r="L156" s="161"/>
      <c r="M156" s="161"/>
      <c r="N156" s="161"/>
      <c r="O156" s="22"/>
      <c r="P156" s="25"/>
    </row>
    <row r="157" spans="2:16" x14ac:dyDescent="0.2">
      <c r="B157" s="21"/>
      <c r="C157" s="35"/>
      <c r="D157" s="191"/>
      <c r="E157" s="35"/>
      <c r="F157" s="35"/>
      <c r="G157" s="35"/>
      <c r="H157" s="35"/>
      <c r="I157" s="409"/>
      <c r="J157" s="409"/>
      <c r="K157" s="409"/>
      <c r="L157" s="409"/>
      <c r="M157" s="409"/>
      <c r="N157" s="409"/>
      <c r="O157" s="35"/>
      <c r="P157" s="25"/>
    </row>
    <row r="158" spans="2:16" x14ac:dyDescent="0.2">
      <c r="B158" s="21"/>
      <c r="C158" s="35"/>
      <c r="D158" s="189" t="s">
        <v>31</v>
      </c>
      <c r="E158" s="35"/>
      <c r="F158" s="189"/>
      <c r="G158" s="189"/>
      <c r="H158" s="35"/>
      <c r="I158" s="409"/>
      <c r="J158" s="409"/>
      <c r="K158" s="409"/>
      <c r="L158" s="409"/>
      <c r="M158" s="409"/>
      <c r="N158" s="409"/>
      <c r="O158" s="35"/>
      <c r="P158" s="25"/>
    </row>
    <row r="159" spans="2:16" x14ac:dyDescent="0.2">
      <c r="B159" s="21"/>
      <c r="C159" s="35"/>
      <c r="D159" s="189"/>
      <c r="E159" s="35"/>
      <c r="F159" s="189"/>
      <c r="G159" s="189"/>
      <c r="H159" s="35"/>
      <c r="I159" s="409"/>
      <c r="J159" s="409"/>
      <c r="K159" s="409"/>
      <c r="L159" s="409"/>
      <c r="M159" s="409"/>
      <c r="N159" s="409"/>
      <c r="O159" s="35"/>
      <c r="P159" s="25"/>
    </row>
    <row r="160" spans="2:16" x14ac:dyDescent="0.2">
      <c r="B160" s="21"/>
      <c r="C160" s="35"/>
      <c r="D160" s="603" t="str">
        <f>+D44</f>
        <v>School 1</v>
      </c>
      <c r="E160" s="35"/>
      <c r="F160" s="398" t="s">
        <v>382</v>
      </c>
      <c r="G160" s="71"/>
      <c r="H160" s="35"/>
      <c r="I160" s="553">
        <f>ROUND('geg ZO'!J66*VLOOKUP($F160,categorieMatVSO,5,FALSE),0)</f>
        <v>0</v>
      </c>
      <c r="J160" s="553">
        <f>ROUND('geg ZO'!K66*VLOOKUP($F160,categorieMatVSO,5,FALSE),0)</f>
        <v>0</v>
      </c>
      <c r="K160" s="553">
        <f>ROUND('geg ZO'!L66*VLOOKUP($F160,categorieMatVSO,5,FALSE),0)</f>
        <v>0</v>
      </c>
      <c r="L160" s="553">
        <f>ROUND('geg ZO'!M66*VLOOKUP($F160,categorieMatVSO,5,FALSE),0)</f>
        <v>0</v>
      </c>
      <c r="M160" s="553">
        <f>ROUND('geg ZO'!N66*VLOOKUP($F160,categorieMatVSO,5,FALSE),0)</f>
        <v>0</v>
      </c>
      <c r="N160" s="553">
        <f>ROUND('geg ZO'!O66*VLOOKUP($F160,categorieMatVSO,5,FALSE),0)</f>
        <v>0</v>
      </c>
      <c r="O160" s="35"/>
      <c r="P160" s="25"/>
    </row>
    <row r="161" spans="2:16" x14ac:dyDescent="0.2">
      <c r="B161" s="21"/>
      <c r="C161" s="37"/>
      <c r="D161" s="191" t="s">
        <v>25</v>
      </c>
      <c r="E161" s="35"/>
      <c r="F161" s="398" t="s">
        <v>383</v>
      </c>
      <c r="G161" s="71"/>
      <c r="H161" s="35"/>
      <c r="I161" s="553">
        <f>ROUND('geg ZO'!J67*VLOOKUP($F161,categorieMatVSO,5,FALSE),0)</f>
        <v>0</v>
      </c>
      <c r="J161" s="553">
        <f>ROUND('geg ZO'!K67*VLOOKUP($F161,categorieMatVSO,5,FALSE),0)</f>
        <v>0</v>
      </c>
      <c r="K161" s="553">
        <f>ROUND('geg ZO'!L67*VLOOKUP($F161,categorieMatVSO,5,FALSE),0)</f>
        <v>0</v>
      </c>
      <c r="L161" s="553">
        <f>ROUND('geg ZO'!M67*VLOOKUP($F161,categorieMatVSO,5,FALSE),0)</f>
        <v>0</v>
      </c>
      <c r="M161" s="553">
        <f>ROUND('geg ZO'!N67*VLOOKUP($F161,categorieMatVSO,5,FALSE),0)</f>
        <v>0</v>
      </c>
      <c r="N161" s="553">
        <f>ROUND('geg ZO'!O67*VLOOKUP($F161,categorieMatVSO,5,FALSE),0)</f>
        <v>0</v>
      </c>
      <c r="O161" s="37"/>
      <c r="P161" s="25"/>
    </row>
    <row r="162" spans="2:16" x14ac:dyDescent="0.2">
      <c r="B162" s="21"/>
      <c r="C162" s="35"/>
      <c r="D162" s="191"/>
      <c r="E162" s="35"/>
      <c r="F162" s="398" t="s">
        <v>384</v>
      </c>
      <c r="G162" s="71"/>
      <c r="H162" s="35"/>
      <c r="I162" s="553">
        <f>ROUND('geg ZO'!J68*VLOOKUP($F162,categorieMatVSO,5,FALSE),0)</f>
        <v>0</v>
      </c>
      <c r="J162" s="553">
        <f>ROUND('geg ZO'!K68*VLOOKUP($F162,categorieMatVSO,5,FALSE),0)</f>
        <v>0</v>
      </c>
      <c r="K162" s="553">
        <f>ROUND('geg ZO'!L68*VLOOKUP($F162,categorieMatVSO,5,FALSE),0)</f>
        <v>0</v>
      </c>
      <c r="L162" s="553">
        <f>ROUND('geg ZO'!M68*VLOOKUP($F162,categorieMatVSO,5,FALSE),0)</f>
        <v>0</v>
      </c>
      <c r="M162" s="553">
        <f>ROUND('geg ZO'!N68*VLOOKUP($F162,categorieMatVSO,5,FALSE),0)</f>
        <v>0</v>
      </c>
      <c r="N162" s="553">
        <f>ROUND('geg ZO'!O68*VLOOKUP($F162,categorieMatVSO,5,FALSE),0)</f>
        <v>0</v>
      </c>
      <c r="O162" s="35"/>
      <c r="P162" s="25"/>
    </row>
    <row r="163" spans="2:16" x14ac:dyDescent="0.2">
      <c r="B163" s="21"/>
      <c r="C163" s="35"/>
      <c r="D163" s="603" t="str">
        <f>+D47</f>
        <v>School 2</v>
      </c>
      <c r="E163" s="35"/>
      <c r="F163" s="191" t="str">
        <f t="shared" ref="F163:F204" si="9">+F47</f>
        <v>categorie 1</v>
      </c>
      <c r="G163" s="71"/>
      <c r="H163" s="35"/>
      <c r="I163" s="553">
        <f>ROUND('geg ZO'!J71*VLOOKUP($F163,categorieMatVSO,5,FALSE),0)</f>
        <v>0</v>
      </c>
      <c r="J163" s="553">
        <f>ROUND('geg ZO'!K71*VLOOKUP($F163,categorieMatVSO,5,FALSE),0)</f>
        <v>0</v>
      </c>
      <c r="K163" s="553">
        <f>ROUND('geg ZO'!L71*VLOOKUP($F163,categorieMatVSO,5,FALSE),0)</f>
        <v>0</v>
      </c>
      <c r="L163" s="553">
        <f>ROUND('geg ZO'!M71*VLOOKUP($F163,categorieMatVSO,5,FALSE),0)</f>
        <v>0</v>
      </c>
      <c r="M163" s="553">
        <f>ROUND('geg ZO'!N71*VLOOKUP($F163,categorieMatVSO,5,FALSE),0)</f>
        <v>0</v>
      </c>
      <c r="N163" s="553">
        <f>ROUND('geg ZO'!O71*VLOOKUP($F163,categorieMatVSO,5,FALSE),0)</f>
        <v>0</v>
      </c>
      <c r="O163" s="35"/>
      <c r="P163" s="25"/>
    </row>
    <row r="164" spans="2:16" x14ac:dyDescent="0.2">
      <c r="B164" s="21"/>
      <c r="C164" s="35"/>
      <c r="D164" s="191" t="s">
        <v>25</v>
      </c>
      <c r="E164" s="35"/>
      <c r="F164" s="191" t="str">
        <f t="shared" si="9"/>
        <v>categorie 2</v>
      </c>
      <c r="G164" s="71"/>
      <c r="H164" s="35"/>
      <c r="I164" s="553">
        <f>ROUND('geg ZO'!J72*VLOOKUP($F164,categorieMatVSO,5,FALSE),0)</f>
        <v>0</v>
      </c>
      <c r="J164" s="553">
        <f>ROUND('geg ZO'!K72*VLOOKUP($F164,categorieMatVSO,5,FALSE),0)</f>
        <v>0</v>
      </c>
      <c r="K164" s="553">
        <f>ROUND('geg ZO'!L72*VLOOKUP($F164,categorieMatVSO,5,FALSE),0)</f>
        <v>0</v>
      </c>
      <c r="L164" s="553">
        <f>ROUND('geg ZO'!M72*VLOOKUP($F164,categorieMatVSO,5,FALSE),0)</f>
        <v>0</v>
      </c>
      <c r="M164" s="553">
        <f>ROUND('geg ZO'!N72*VLOOKUP($F164,categorieMatVSO,5,FALSE),0)</f>
        <v>0</v>
      </c>
      <c r="N164" s="553">
        <f>ROUND('geg ZO'!O72*VLOOKUP($F164,categorieMatVSO,5,FALSE),0)</f>
        <v>0</v>
      </c>
      <c r="O164" s="35"/>
      <c r="P164" s="25"/>
    </row>
    <row r="165" spans="2:16" x14ac:dyDescent="0.2">
      <c r="B165" s="21"/>
      <c r="C165" s="35"/>
      <c r="D165" s="191"/>
      <c r="E165" s="35"/>
      <c r="F165" s="191" t="str">
        <f t="shared" si="9"/>
        <v>categorie 3</v>
      </c>
      <c r="G165" s="71"/>
      <c r="H165" s="35"/>
      <c r="I165" s="553">
        <f>ROUND('geg ZO'!J73*VLOOKUP($F165,categorieMatVSO,5,FALSE),0)</f>
        <v>0</v>
      </c>
      <c r="J165" s="553">
        <f>ROUND('geg ZO'!K73*VLOOKUP($F165,categorieMatVSO,5,FALSE),0)</f>
        <v>0</v>
      </c>
      <c r="K165" s="553">
        <f>ROUND('geg ZO'!L73*VLOOKUP($F165,categorieMatVSO,5,FALSE),0)</f>
        <v>0</v>
      </c>
      <c r="L165" s="553">
        <f>ROUND('geg ZO'!M73*VLOOKUP($F165,categorieMatVSO,5,FALSE),0)</f>
        <v>0</v>
      </c>
      <c r="M165" s="553">
        <f>ROUND('geg ZO'!N73*VLOOKUP($F165,categorieMatVSO,5,FALSE),0)</f>
        <v>0</v>
      </c>
      <c r="N165" s="553">
        <f>ROUND('geg ZO'!O73*VLOOKUP($F165,categorieMatVSO,5,FALSE),0)</f>
        <v>0</v>
      </c>
      <c r="O165" s="35"/>
      <c r="P165" s="25"/>
    </row>
    <row r="166" spans="2:16" x14ac:dyDescent="0.2">
      <c r="B166" s="21"/>
      <c r="C166" s="37"/>
      <c r="D166" s="603" t="str">
        <f>+D50</f>
        <v>School 3</v>
      </c>
      <c r="E166" s="35"/>
      <c r="F166" s="191" t="str">
        <f t="shared" si="9"/>
        <v>categorie 1</v>
      </c>
      <c r="G166" s="71"/>
      <c r="H166" s="35"/>
      <c r="I166" s="553">
        <f>ROUND('geg ZO'!J76*VLOOKUP($F166,categorieMatVSO,5,FALSE),0)</f>
        <v>0</v>
      </c>
      <c r="J166" s="553">
        <f>ROUND('geg ZO'!K76*VLOOKUP($F166,categorieMatVSO,5,FALSE),0)</f>
        <v>0</v>
      </c>
      <c r="K166" s="553">
        <f>ROUND('geg ZO'!L76*VLOOKUP($F166,categorieMatVSO,5,FALSE),0)</f>
        <v>0</v>
      </c>
      <c r="L166" s="553">
        <f>ROUND('geg ZO'!M76*VLOOKUP($F166,categorieMatVSO,5,FALSE),0)</f>
        <v>0</v>
      </c>
      <c r="M166" s="553">
        <f>ROUND('geg ZO'!N76*VLOOKUP($F166,categorieMatVSO,5,FALSE),0)</f>
        <v>0</v>
      </c>
      <c r="N166" s="553">
        <f>ROUND('geg ZO'!O76*VLOOKUP($F166,categorieMatVSO,5,FALSE),0)</f>
        <v>0</v>
      </c>
      <c r="O166" s="37"/>
      <c r="P166" s="25"/>
    </row>
    <row r="167" spans="2:16" x14ac:dyDescent="0.2">
      <c r="B167" s="21"/>
      <c r="C167" s="35"/>
      <c r="D167" s="191" t="s">
        <v>25</v>
      </c>
      <c r="E167" s="35"/>
      <c r="F167" s="191" t="str">
        <f t="shared" si="9"/>
        <v>categorie 2</v>
      </c>
      <c r="G167" s="71"/>
      <c r="H167" s="35"/>
      <c r="I167" s="553">
        <f>ROUND('geg ZO'!J77*VLOOKUP($F167,categorieMatVSO,5,FALSE),0)</f>
        <v>0</v>
      </c>
      <c r="J167" s="553">
        <f>ROUND('geg ZO'!K77*VLOOKUP($F167,categorieMatVSO,5,FALSE),0)</f>
        <v>0</v>
      </c>
      <c r="K167" s="553">
        <f>ROUND('geg ZO'!L77*VLOOKUP($F167,categorieMatVSO,5,FALSE),0)</f>
        <v>0</v>
      </c>
      <c r="L167" s="553">
        <f>ROUND('geg ZO'!M77*VLOOKUP($F167,categorieMatVSO,5,FALSE),0)</f>
        <v>0</v>
      </c>
      <c r="M167" s="553">
        <f>ROUND('geg ZO'!N77*VLOOKUP($F167,categorieMatVSO,5,FALSE),0)</f>
        <v>0</v>
      </c>
      <c r="N167" s="553">
        <f>ROUND('geg ZO'!O77*VLOOKUP($F167,categorieMatVSO,5,FALSE),0)</f>
        <v>0</v>
      </c>
      <c r="O167" s="35"/>
      <c r="P167" s="25"/>
    </row>
    <row r="168" spans="2:16" x14ac:dyDescent="0.2">
      <c r="B168" s="21"/>
      <c r="C168" s="35"/>
      <c r="D168" s="191"/>
      <c r="E168" s="35"/>
      <c r="F168" s="191" t="str">
        <f t="shared" si="9"/>
        <v>categorie 3</v>
      </c>
      <c r="G168" s="71"/>
      <c r="H168" s="35"/>
      <c r="I168" s="553">
        <f>ROUND('geg ZO'!J78*VLOOKUP($F168,categorieMatVSO,5,FALSE),0)</f>
        <v>0</v>
      </c>
      <c r="J168" s="553">
        <f>ROUND('geg ZO'!K78*VLOOKUP($F168,categorieMatVSO,5,FALSE),0)</f>
        <v>0</v>
      </c>
      <c r="K168" s="553">
        <f>ROUND('geg ZO'!L78*VLOOKUP($F168,categorieMatVSO,5,FALSE),0)</f>
        <v>0</v>
      </c>
      <c r="L168" s="553">
        <f>ROUND('geg ZO'!M78*VLOOKUP($F168,categorieMatVSO,5,FALSE),0)</f>
        <v>0</v>
      </c>
      <c r="M168" s="553">
        <f>ROUND('geg ZO'!N78*VLOOKUP($F168,categorieMatVSO,5,FALSE),0)</f>
        <v>0</v>
      </c>
      <c r="N168" s="553">
        <f>ROUND('geg ZO'!O78*VLOOKUP($F168,categorieMatVSO,5,FALSE),0)</f>
        <v>0</v>
      </c>
      <c r="O168" s="35"/>
      <c r="P168" s="25"/>
    </row>
    <row r="169" spans="2:16" x14ac:dyDescent="0.2">
      <c r="B169" s="21"/>
      <c r="C169" s="35"/>
      <c r="D169" s="603" t="str">
        <f>+D53</f>
        <v>School 4</v>
      </c>
      <c r="E169" s="35"/>
      <c r="F169" s="191" t="str">
        <f t="shared" si="9"/>
        <v>categorie 1</v>
      </c>
      <c r="G169" s="71"/>
      <c r="H169" s="35"/>
      <c r="I169" s="553">
        <f>ROUND('geg ZO'!J81*VLOOKUP($F169,categorieMatVSO,5,FALSE),0)</f>
        <v>0</v>
      </c>
      <c r="J169" s="553">
        <f>ROUND('geg ZO'!K81*VLOOKUP($F169,categorieMatVSO,5,FALSE),0)</f>
        <v>0</v>
      </c>
      <c r="K169" s="553">
        <f>ROUND('geg ZO'!L81*VLOOKUP($F169,categorieMatVSO,5,FALSE),0)</f>
        <v>0</v>
      </c>
      <c r="L169" s="553">
        <f>ROUND('geg ZO'!M81*VLOOKUP($F169,categorieMatVSO,5,FALSE),0)</f>
        <v>0</v>
      </c>
      <c r="M169" s="553">
        <f>ROUND('geg ZO'!N81*VLOOKUP($F169,categorieMatVSO,5,FALSE),0)</f>
        <v>0</v>
      </c>
      <c r="N169" s="553">
        <f>ROUND('geg ZO'!O81*VLOOKUP($F169,categorieMatVSO,5,FALSE),0)</f>
        <v>0</v>
      </c>
      <c r="O169" s="35"/>
      <c r="P169" s="25"/>
    </row>
    <row r="170" spans="2:16" x14ac:dyDescent="0.2">
      <c r="B170" s="21"/>
      <c r="C170" s="35"/>
      <c r="D170" s="191" t="s">
        <v>25</v>
      </c>
      <c r="E170" s="35"/>
      <c r="F170" s="191" t="str">
        <f t="shared" si="9"/>
        <v>categorie 2</v>
      </c>
      <c r="G170" s="71"/>
      <c r="H170" s="35"/>
      <c r="I170" s="553">
        <f>ROUND('geg ZO'!J82*VLOOKUP($F170,categorieMatVSO,5,FALSE),0)</f>
        <v>0</v>
      </c>
      <c r="J170" s="553">
        <f>ROUND('geg ZO'!K82*VLOOKUP($F170,categorieMatVSO,5,FALSE),0)</f>
        <v>0</v>
      </c>
      <c r="K170" s="553">
        <f>ROUND('geg ZO'!L82*VLOOKUP($F170,categorieMatVSO,5,FALSE),0)</f>
        <v>0</v>
      </c>
      <c r="L170" s="553">
        <f>ROUND('geg ZO'!M82*VLOOKUP($F170,categorieMatVSO,5,FALSE),0)</f>
        <v>0</v>
      </c>
      <c r="M170" s="553">
        <f>ROUND('geg ZO'!N82*VLOOKUP($F170,categorieMatVSO,5,FALSE),0)</f>
        <v>0</v>
      </c>
      <c r="N170" s="553">
        <f>ROUND('geg ZO'!O82*VLOOKUP($F170,categorieMatVSO,5,FALSE),0)</f>
        <v>0</v>
      </c>
      <c r="O170" s="35"/>
      <c r="P170" s="25"/>
    </row>
    <row r="171" spans="2:16" x14ac:dyDescent="0.2">
      <c r="B171" s="21"/>
      <c r="C171" s="35"/>
      <c r="D171" s="191"/>
      <c r="E171" s="35"/>
      <c r="F171" s="191" t="str">
        <f t="shared" si="9"/>
        <v>categorie 3</v>
      </c>
      <c r="G171" s="71"/>
      <c r="H171" s="35"/>
      <c r="I171" s="553">
        <f>ROUND('geg ZO'!J83*VLOOKUP($F171,categorieMatVSO,5,FALSE),0)</f>
        <v>0</v>
      </c>
      <c r="J171" s="553">
        <f>ROUND('geg ZO'!K83*VLOOKUP($F171,categorieMatVSO,5,FALSE),0)</f>
        <v>0</v>
      </c>
      <c r="K171" s="553">
        <f>ROUND('geg ZO'!L83*VLOOKUP($F171,categorieMatVSO,5,FALSE),0)</f>
        <v>0</v>
      </c>
      <c r="L171" s="553">
        <f>ROUND('geg ZO'!M83*VLOOKUP($F171,categorieMatVSO,5,FALSE),0)</f>
        <v>0</v>
      </c>
      <c r="M171" s="553">
        <f>ROUND('geg ZO'!N83*VLOOKUP($F171,categorieMatVSO,5,FALSE),0)</f>
        <v>0</v>
      </c>
      <c r="N171" s="553">
        <f>ROUND('geg ZO'!O83*VLOOKUP($F171,categorieMatVSO,5,FALSE),0)</f>
        <v>0</v>
      </c>
      <c r="O171" s="35"/>
      <c r="P171" s="25"/>
    </row>
    <row r="172" spans="2:16" x14ac:dyDescent="0.2">
      <c r="B172" s="21"/>
      <c r="C172" s="35"/>
      <c r="D172" s="603" t="str">
        <f>+D56</f>
        <v>School 5</v>
      </c>
      <c r="E172" s="35"/>
      <c r="F172" s="191" t="str">
        <f t="shared" si="9"/>
        <v>categorie 1</v>
      </c>
      <c r="G172" s="71"/>
      <c r="H172" s="35"/>
      <c r="I172" s="553">
        <f>ROUND('geg ZO'!J86*VLOOKUP($F172,categorieMatVSO,5,FALSE),0)</f>
        <v>0</v>
      </c>
      <c r="J172" s="553">
        <f>ROUND('geg ZO'!K86*VLOOKUP($F172,categorieMatVSO,5,FALSE),0)</f>
        <v>0</v>
      </c>
      <c r="K172" s="553">
        <f>ROUND('geg ZO'!L86*VLOOKUP($F172,categorieMatVSO,5,FALSE),0)</f>
        <v>0</v>
      </c>
      <c r="L172" s="553">
        <f>ROUND('geg ZO'!M86*VLOOKUP($F172,categorieMatVSO,5,FALSE),0)</f>
        <v>0</v>
      </c>
      <c r="M172" s="553">
        <f>ROUND('geg ZO'!N86*VLOOKUP($F172,categorieMatVSO,5,FALSE),0)</f>
        <v>0</v>
      </c>
      <c r="N172" s="553">
        <f>ROUND('geg ZO'!O86*VLOOKUP($F172,categorieMatVSO,5,FALSE),0)</f>
        <v>0</v>
      </c>
      <c r="O172" s="35"/>
      <c r="P172" s="25"/>
    </row>
    <row r="173" spans="2:16" x14ac:dyDescent="0.2">
      <c r="B173" s="21"/>
      <c r="C173" s="35"/>
      <c r="D173" s="191" t="s">
        <v>25</v>
      </c>
      <c r="E173" s="35"/>
      <c r="F173" s="191" t="str">
        <f t="shared" si="9"/>
        <v>categorie 2</v>
      </c>
      <c r="G173" s="71"/>
      <c r="H173" s="35"/>
      <c r="I173" s="553">
        <f>ROUND('geg ZO'!J87*VLOOKUP($F173,categorieMatVSO,5,FALSE),0)</f>
        <v>0</v>
      </c>
      <c r="J173" s="553">
        <f>ROUND('geg ZO'!K87*VLOOKUP($F173,categorieMatVSO,5,FALSE),0)</f>
        <v>0</v>
      </c>
      <c r="K173" s="553">
        <f>ROUND('geg ZO'!L87*VLOOKUP($F173,categorieMatVSO,5,FALSE),0)</f>
        <v>0</v>
      </c>
      <c r="L173" s="553">
        <f>ROUND('geg ZO'!M87*VLOOKUP($F173,categorieMatVSO,5,FALSE),0)</f>
        <v>0</v>
      </c>
      <c r="M173" s="553">
        <f>ROUND('geg ZO'!N87*VLOOKUP($F173,categorieMatVSO,5,FALSE),0)</f>
        <v>0</v>
      </c>
      <c r="N173" s="553">
        <f>ROUND('geg ZO'!O87*VLOOKUP($F173,categorieMatVSO,5,FALSE),0)</f>
        <v>0</v>
      </c>
      <c r="O173" s="35"/>
      <c r="P173" s="25"/>
    </row>
    <row r="174" spans="2:16" x14ac:dyDescent="0.2">
      <c r="B174" s="21"/>
      <c r="C174" s="35"/>
      <c r="D174" s="191"/>
      <c r="E174" s="35"/>
      <c r="F174" s="191" t="str">
        <f t="shared" si="9"/>
        <v>categorie 3</v>
      </c>
      <c r="G174" s="71"/>
      <c r="H174" s="35"/>
      <c r="I174" s="553">
        <f>ROUND('geg ZO'!J88*VLOOKUP($F174,categorieMatVSO,5,FALSE),0)</f>
        <v>0</v>
      </c>
      <c r="J174" s="553">
        <f>ROUND('geg ZO'!K88*VLOOKUP($F174,categorieMatVSO,5,FALSE),0)</f>
        <v>0</v>
      </c>
      <c r="K174" s="553">
        <f>ROUND('geg ZO'!L88*VLOOKUP($F174,categorieMatVSO,5,FALSE),0)</f>
        <v>0</v>
      </c>
      <c r="L174" s="553">
        <f>ROUND('geg ZO'!M88*VLOOKUP($F174,categorieMatVSO,5,FALSE),0)</f>
        <v>0</v>
      </c>
      <c r="M174" s="553">
        <f>ROUND('geg ZO'!N88*VLOOKUP($F174,categorieMatVSO,5,FALSE),0)</f>
        <v>0</v>
      </c>
      <c r="N174" s="553">
        <f>ROUND('geg ZO'!O88*VLOOKUP($F174,categorieMatVSO,5,FALSE),0)</f>
        <v>0</v>
      </c>
      <c r="O174" s="35"/>
      <c r="P174" s="25"/>
    </row>
    <row r="175" spans="2:16" x14ac:dyDescent="0.2">
      <c r="B175" s="21"/>
      <c r="C175" s="35"/>
      <c r="D175" s="603" t="str">
        <f>+D59</f>
        <v>School 6</v>
      </c>
      <c r="E175" s="35"/>
      <c r="F175" s="191" t="str">
        <f t="shared" si="9"/>
        <v>categorie 1</v>
      </c>
      <c r="G175" s="71"/>
      <c r="H175" s="35"/>
      <c r="I175" s="553">
        <f>ROUND('geg ZO'!J91*VLOOKUP($F175,categorieMatVSO,5,FALSE),0)</f>
        <v>0</v>
      </c>
      <c r="J175" s="553">
        <f>ROUND('geg ZO'!K91*VLOOKUP($F175,categorieMatVSO,5,FALSE),0)</f>
        <v>0</v>
      </c>
      <c r="K175" s="553">
        <f>ROUND('geg ZO'!L91*VLOOKUP($F175,categorieMatVSO,5,FALSE),0)</f>
        <v>0</v>
      </c>
      <c r="L175" s="553">
        <f>ROUND('geg ZO'!M91*VLOOKUP($F175,categorieMatVSO,5,FALSE),0)</f>
        <v>0</v>
      </c>
      <c r="M175" s="553">
        <f>ROUND('geg ZO'!N91*VLOOKUP($F175,categorieMatVSO,5,FALSE),0)</f>
        <v>0</v>
      </c>
      <c r="N175" s="553">
        <f>ROUND('geg ZO'!O91*VLOOKUP($F175,categorieMatVSO,5,FALSE),0)</f>
        <v>0</v>
      </c>
      <c r="O175" s="35"/>
      <c r="P175" s="25"/>
    </row>
    <row r="176" spans="2:16" x14ac:dyDescent="0.2">
      <c r="B176" s="21"/>
      <c r="C176" s="35"/>
      <c r="D176" s="191" t="s">
        <v>25</v>
      </c>
      <c r="E176" s="35"/>
      <c r="F176" s="191" t="str">
        <f t="shared" si="9"/>
        <v>categorie 2</v>
      </c>
      <c r="G176" s="71"/>
      <c r="H176" s="35"/>
      <c r="I176" s="553">
        <f>ROUND('geg ZO'!J92*VLOOKUP($F176,categorieMatVSO,5,FALSE),0)</f>
        <v>0</v>
      </c>
      <c r="J176" s="553">
        <f>ROUND('geg ZO'!K92*VLOOKUP($F176,categorieMatVSO,5,FALSE),0)</f>
        <v>0</v>
      </c>
      <c r="K176" s="553">
        <f>ROUND('geg ZO'!L92*VLOOKUP($F176,categorieMatVSO,5,FALSE),0)</f>
        <v>0</v>
      </c>
      <c r="L176" s="553">
        <f>ROUND('geg ZO'!M92*VLOOKUP($F176,categorieMatVSO,5,FALSE),0)</f>
        <v>0</v>
      </c>
      <c r="M176" s="553">
        <f>ROUND('geg ZO'!N92*VLOOKUP($F176,categorieMatVSO,5,FALSE),0)</f>
        <v>0</v>
      </c>
      <c r="N176" s="553">
        <f>ROUND('geg ZO'!O92*VLOOKUP($F176,categorieMatVSO,5,FALSE),0)</f>
        <v>0</v>
      </c>
      <c r="O176" s="35"/>
      <c r="P176" s="25"/>
    </row>
    <row r="177" spans="2:16" x14ac:dyDescent="0.2">
      <c r="B177" s="21"/>
      <c r="C177" s="35"/>
      <c r="D177" s="191"/>
      <c r="E177" s="35"/>
      <c r="F177" s="191" t="str">
        <f t="shared" si="9"/>
        <v>categorie 3</v>
      </c>
      <c r="G177" s="71"/>
      <c r="H177" s="35"/>
      <c r="I177" s="553">
        <f>ROUND('geg ZO'!J93*VLOOKUP($F177,categorieMatVSO,5,FALSE),0)</f>
        <v>0</v>
      </c>
      <c r="J177" s="553">
        <f>ROUND('geg ZO'!K93*VLOOKUP($F177,categorieMatVSO,5,FALSE),0)</f>
        <v>0</v>
      </c>
      <c r="K177" s="553">
        <f>ROUND('geg ZO'!L93*VLOOKUP($F177,categorieMatVSO,5,FALSE),0)</f>
        <v>0</v>
      </c>
      <c r="L177" s="553">
        <f>ROUND('geg ZO'!M93*VLOOKUP($F177,categorieMatVSO,5,FALSE),0)</f>
        <v>0</v>
      </c>
      <c r="M177" s="553">
        <f>ROUND('geg ZO'!N93*VLOOKUP($F177,categorieMatVSO,5,FALSE),0)</f>
        <v>0</v>
      </c>
      <c r="N177" s="553">
        <f>ROUND('geg ZO'!O93*VLOOKUP($F177,categorieMatVSO,5,FALSE),0)</f>
        <v>0</v>
      </c>
      <c r="O177" s="35"/>
      <c r="P177" s="25"/>
    </row>
    <row r="178" spans="2:16" x14ac:dyDescent="0.2">
      <c r="B178" s="21"/>
      <c r="C178" s="35"/>
      <c r="D178" s="603" t="str">
        <f>+D62</f>
        <v>School 7</v>
      </c>
      <c r="E178" s="35"/>
      <c r="F178" s="191" t="str">
        <f t="shared" si="9"/>
        <v>categorie 1</v>
      </c>
      <c r="G178" s="71"/>
      <c r="H178" s="35"/>
      <c r="I178" s="553">
        <f>ROUND('geg ZO'!J96*VLOOKUP($F178,categorieMatVSO,5,FALSE),0)</f>
        <v>0</v>
      </c>
      <c r="J178" s="553">
        <f>ROUND('geg ZO'!K96*VLOOKUP($F178,categorieMatVSO,5,FALSE),0)</f>
        <v>0</v>
      </c>
      <c r="K178" s="553">
        <f>ROUND('geg ZO'!L96*VLOOKUP($F178,categorieMatVSO,5,FALSE),0)</f>
        <v>0</v>
      </c>
      <c r="L178" s="553">
        <f>ROUND('geg ZO'!M96*VLOOKUP($F178,categorieMatVSO,5,FALSE),0)</f>
        <v>0</v>
      </c>
      <c r="M178" s="553">
        <f>ROUND('geg ZO'!N96*VLOOKUP($F178,categorieMatVSO,5,FALSE),0)</f>
        <v>0</v>
      </c>
      <c r="N178" s="553">
        <f>ROUND('geg ZO'!O96*VLOOKUP($F178,categorieMatVSO,5,FALSE),0)</f>
        <v>0</v>
      </c>
      <c r="O178" s="35"/>
      <c r="P178" s="25"/>
    </row>
    <row r="179" spans="2:16" x14ac:dyDescent="0.2">
      <c r="B179" s="21"/>
      <c r="C179" s="35"/>
      <c r="D179" s="191" t="s">
        <v>25</v>
      </c>
      <c r="E179" s="35"/>
      <c r="F179" s="191" t="str">
        <f t="shared" si="9"/>
        <v>categorie 2</v>
      </c>
      <c r="G179" s="71"/>
      <c r="H179" s="35"/>
      <c r="I179" s="553">
        <f>ROUND('geg ZO'!J97*VLOOKUP($F179,categorieMatVSO,5,FALSE),0)</f>
        <v>0</v>
      </c>
      <c r="J179" s="553">
        <f>ROUND('geg ZO'!K97*VLOOKUP($F179,categorieMatVSO,5,FALSE),0)</f>
        <v>0</v>
      </c>
      <c r="K179" s="553">
        <f>ROUND('geg ZO'!L97*VLOOKUP($F179,categorieMatVSO,5,FALSE),0)</f>
        <v>0</v>
      </c>
      <c r="L179" s="553">
        <f>ROUND('geg ZO'!M97*VLOOKUP($F179,categorieMatVSO,5,FALSE),0)</f>
        <v>0</v>
      </c>
      <c r="M179" s="553">
        <f>ROUND('geg ZO'!N97*VLOOKUP($F179,categorieMatVSO,5,FALSE),0)</f>
        <v>0</v>
      </c>
      <c r="N179" s="553">
        <f>ROUND('geg ZO'!O97*VLOOKUP($F179,categorieMatVSO,5,FALSE),0)</f>
        <v>0</v>
      </c>
      <c r="O179" s="35"/>
      <c r="P179" s="25"/>
    </row>
    <row r="180" spans="2:16" x14ac:dyDescent="0.2">
      <c r="B180" s="21"/>
      <c r="C180" s="35"/>
      <c r="D180" s="191"/>
      <c r="E180" s="35"/>
      <c r="F180" s="191" t="str">
        <f t="shared" si="9"/>
        <v>categorie 3</v>
      </c>
      <c r="G180" s="71"/>
      <c r="H180" s="35"/>
      <c r="I180" s="553">
        <f>ROUND('geg ZO'!J98*VLOOKUP($F180,categorieMatVSO,5,FALSE),0)</f>
        <v>0</v>
      </c>
      <c r="J180" s="553">
        <f>ROUND('geg ZO'!K98*VLOOKUP($F180,categorieMatVSO,5,FALSE),0)</f>
        <v>0</v>
      </c>
      <c r="K180" s="553">
        <f>ROUND('geg ZO'!L98*VLOOKUP($F180,categorieMatVSO,5,FALSE),0)</f>
        <v>0</v>
      </c>
      <c r="L180" s="553">
        <f>ROUND('geg ZO'!M98*VLOOKUP($F180,categorieMatVSO,5,FALSE),0)</f>
        <v>0</v>
      </c>
      <c r="M180" s="553">
        <f>ROUND('geg ZO'!N98*VLOOKUP($F180,categorieMatVSO,5,FALSE),0)</f>
        <v>0</v>
      </c>
      <c r="N180" s="553">
        <f>ROUND('geg ZO'!O98*VLOOKUP($F180,categorieMatVSO,5,FALSE),0)</f>
        <v>0</v>
      </c>
      <c r="O180" s="35"/>
      <c r="P180" s="25"/>
    </row>
    <row r="181" spans="2:16" x14ac:dyDescent="0.2">
      <c r="B181" s="21"/>
      <c r="C181" s="35"/>
      <c r="D181" s="603" t="str">
        <f>+D65</f>
        <v>School 8</v>
      </c>
      <c r="E181" s="35"/>
      <c r="F181" s="191" t="str">
        <f t="shared" si="9"/>
        <v>categorie 1</v>
      </c>
      <c r="G181" s="71"/>
      <c r="H181" s="35"/>
      <c r="I181" s="553">
        <f>ROUND('geg ZO'!J101*VLOOKUP($F181,categorieMatVSO,5,FALSE),0)</f>
        <v>0</v>
      </c>
      <c r="J181" s="553">
        <f>ROUND('geg ZO'!K101*VLOOKUP($F181,categorieMatVSO,5,FALSE),0)</f>
        <v>0</v>
      </c>
      <c r="K181" s="553">
        <f>ROUND('geg ZO'!L101*VLOOKUP($F181,categorieMatVSO,5,FALSE),0)</f>
        <v>0</v>
      </c>
      <c r="L181" s="553">
        <f>ROUND('geg ZO'!M101*VLOOKUP($F181,categorieMatVSO,5,FALSE),0)</f>
        <v>0</v>
      </c>
      <c r="M181" s="553">
        <f>ROUND('geg ZO'!N101*VLOOKUP($F181,categorieMatVSO,5,FALSE),0)</f>
        <v>0</v>
      </c>
      <c r="N181" s="553">
        <f>ROUND('geg ZO'!O101*VLOOKUP($F181,categorieMatVSO,5,FALSE),0)</f>
        <v>0</v>
      </c>
      <c r="O181" s="35"/>
      <c r="P181" s="25"/>
    </row>
    <row r="182" spans="2:16" x14ac:dyDescent="0.2">
      <c r="B182" s="21"/>
      <c r="C182" s="35"/>
      <c r="D182" s="191" t="s">
        <v>25</v>
      </c>
      <c r="E182" s="35"/>
      <c r="F182" s="191" t="str">
        <f t="shared" si="9"/>
        <v>categorie 2</v>
      </c>
      <c r="G182" s="71"/>
      <c r="H182" s="35"/>
      <c r="I182" s="553">
        <f>ROUND('geg ZO'!J102*VLOOKUP($F182,categorieMatVSO,5,FALSE),0)</f>
        <v>0</v>
      </c>
      <c r="J182" s="553">
        <f>ROUND('geg ZO'!K102*VLOOKUP($F182,categorieMatVSO,5,FALSE),0)</f>
        <v>0</v>
      </c>
      <c r="K182" s="553">
        <f>ROUND('geg ZO'!L102*VLOOKUP($F182,categorieMatVSO,5,FALSE),0)</f>
        <v>0</v>
      </c>
      <c r="L182" s="553">
        <f>ROUND('geg ZO'!M102*VLOOKUP($F182,categorieMatVSO,5,FALSE),0)</f>
        <v>0</v>
      </c>
      <c r="M182" s="553">
        <f>ROUND('geg ZO'!N102*VLOOKUP($F182,categorieMatVSO,5,FALSE),0)</f>
        <v>0</v>
      </c>
      <c r="N182" s="553">
        <f>ROUND('geg ZO'!O102*VLOOKUP($F182,categorieMatVSO,5,FALSE),0)</f>
        <v>0</v>
      </c>
      <c r="O182" s="35"/>
      <c r="P182" s="25"/>
    </row>
    <row r="183" spans="2:16" x14ac:dyDescent="0.2">
      <c r="B183" s="21"/>
      <c r="C183" s="35"/>
      <c r="D183" s="191"/>
      <c r="E183" s="35"/>
      <c r="F183" s="191" t="str">
        <f t="shared" si="9"/>
        <v>categorie 3</v>
      </c>
      <c r="G183" s="71"/>
      <c r="H183" s="35"/>
      <c r="I183" s="553">
        <f>ROUND('geg ZO'!J103*VLOOKUP($F183,categorieMatVSO,5,FALSE),0)</f>
        <v>0</v>
      </c>
      <c r="J183" s="553">
        <f>ROUND('geg ZO'!K103*VLOOKUP($F183,categorieMatVSO,5,FALSE),0)</f>
        <v>0</v>
      </c>
      <c r="K183" s="553">
        <f>ROUND('geg ZO'!L103*VLOOKUP($F183,categorieMatVSO,5,FALSE),0)</f>
        <v>0</v>
      </c>
      <c r="L183" s="553">
        <f>ROUND('geg ZO'!M103*VLOOKUP($F183,categorieMatVSO,5,FALSE),0)</f>
        <v>0</v>
      </c>
      <c r="M183" s="553">
        <f>ROUND('geg ZO'!N103*VLOOKUP($F183,categorieMatVSO,5,FALSE),0)</f>
        <v>0</v>
      </c>
      <c r="N183" s="553">
        <f>ROUND('geg ZO'!O103*VLOOKUP($F183,categorieMatVSO,5,FALSE),0)</f>
        <v>0</v>
      </c>
      <c r="O183" s="35"/>
      <c r="P183" s="25"/>
    </row>
    <row r="184" spans="2:16" x14ac:dyDescent="0.2">
      <c r="B184" s="21"/>
      <c r="C184" s="35"/>
      <c r="D184" s="603" t="str">
        <f>+D68</f>
        <v>School 9</v>
      </c>
      <c r="E184" s="35"/>
      <c r="F184" s="191" t="str">
        <f t="shared" si="9"/>
        <v>categorie 1</v>
      </c>
      <c r="G184" s="71"/>
      <c r="H184" s="35"/>
      <c r="I184" s="553">
        <f>ROUND('geg ZO'!J106*VLOOKUP($F184,categorieMatVSO,5,FALSE),0)</f>
        <v>0</v>
      </c>
      <c r="J184" s="553">
        <f>ROUND('geg ZO'!K106*VLOOKUP($F184,categorieMatVSO,5,FALSE),0)</f>
        <v>0</v>
      </c>
      <c r="K184" s="553">
        <f>ROUND('geg ZO'!L106*VLOOKUP($F184,categorieMatVSO,5,FALSE),0)</f>
        <v>0</v>
      </c>
      <c r="L184" s="553">
        <f>ROUND('geg ZO'!M106*VLOOKUP($F184,categorieMatVSO,5,FALSE),0)</f>
        <v>0</v>
      </c>
      <c r="M184" s="553">
        <f>ROUND('geg ZO'!N106*VLOOKUP($F184,categorieMatVSO,5,FALSE),0)</f>
        <v>0</v>
      </c>
      <c r="N184" s="553">
        <f>ROUND('geg ZO'!O106*VLOOKUP($F184,categorieMatVSO,5,FALSE),0)</f>
        <v>0</v>
      </c>
      <c r="O184" s="35"/>
      <c r="P184" s="25"/>
    </row>
    <row r="185" spans="2:16" x14ac:dyDescent="0.2">
      <c r="B185" s="21"/>
      <c r="C185" s="35"/>
      <c r="D185" s="191" t="s">
        <v>25</v>
      </c>
      <c r="E185" s="35"/>
      <c r="F185" s="191" t="str">
        <f t="shared" si="9"/>
        <v>categorie 2</v>
      </c>
      <c r="G185" s="71"/>
      <c r="H185" s="35"/>
      <c r="I185" s="553">
        <f>ROUND('geg ZO'!J107*VLOOKUP($F185,categorieMatVSO,5,FALSE),0)</f>
        <v>0</v>
      </c>
      <c r="J185" s="553">
        <f>ROUND('geg ZO'!K107*VLOOKUP($F185,categorieMatVSO,5,FALSE),0)</f>
        <v>0</v>
      </c>
      <c r="K185" s="553">
        <f>ROUND('geg ZO'!L107*VLOOKUP($F185,categorieMatVSO,5,FALSE),0)</f>
        <v>0</v>
      </c>
      <c r="L185" s="553">
        <f>ROUND('geg ZO'!M107*VLOOKUP($F185,categorieMatVSO,5,FALSE),0)</f>
        <v>0</v>
      </c>
      <c r="M185" s="553">
        <f>ROUND('geg ZO'!N107*VLOOKUP($F185,categorieMatVSO,5,FALSE),0)</f>
        <v>0</v>
      </c>
      <c r="N185" s="553">
        <f>ROUND('geg ZO'!O107*VLOOKUP($F185,categorieMatVSO,5,FALSE),0)</f>
        <v>0</v>
      </c>
      <c r="O185" s="35"/>
      <c r="P185" s="25"/>
    </row>
    <row r="186" spans="2:16" x14ac:dyDescent="0.2">
      <c r="B186" s="21"/>
      <c r="C186" s="35"/>
      <c r="D186" s="191"/>
      <c r="E186" s="35"/>
      <c r="F186" s="191" t="str">
        <f t="shared" si="9"/>
        <v>categorie 3</v>
      </c>
      <c r="G186" s="71"/>
      <c r="H186" s="35"/>
      <c r="I186" s="553">
        <f>ROUND('geg ZO'!J108*VLOOKUP($F186,categorieMatVSO,5,FALSE),0)</f>
        <v>0</v>
      </c>
      <c r="J186" s="553">
        <f>ROUND('geg ZO'!K108*VLOOKUP($F186,categorieMatVSO,5,FALSE),0)</f>
        <v>0</v>
      </c>
      <c r="K186" s="553">
        <f>ROUND('geg ZO'!L108*VLOOKUP($F186,categorieMatVSO,5,FALSE),0)</f>
        <v>0</v>
      </c>
      <c r="L186" s="553">
        <f>ROUND('geg ZO'!M108*VLOOKUP($F186,categorieMatVSO,5,FALSE),0)</f>
        <v>0</v>
      </c>
      <c r="M186" s="553">
        <f>ROUND('geg ZO'!N108*VLOOKUP($F186,categorieMatVSO,5,FALSE),0)</f>
        <v>0</v>
      </c>
      <c r="N186" s="553">
        <f>ROUND('geg ZO'!O108*VLOOKUP($F186,categorieMatVSO,5,FALSE),0)</f>
        <v>0</v>
      </c>
      <c r="O186" s="35"/>
      <c r="P186" s="25"/>
    </row>
    <row r="187" spans="2:16" x14ac:dyDescent="0.2">
      <c r="B187" s="21"/>
      <c r="C187" s="35"/>
      <c r="D187" s="603" t="str">
        <f>+D71</f>
        <v>School 10</v>
      </c>
      <c r="E187" s="35"/>
      <c r="F187" s="191" t="str">
        <f t="shared" si="9"/>
        <v>categorie 1</v>
      </c>
      <c r="G187" s="71"/>
      <c r="H187" s="35"/>
      <c r="I187" s="553">
        <f>ROUND('geg ZO'!J111*VLOOKUP($F187,categorieMatVSO,5,FALSE),0)</f>
        <v>0</v>
      </c>
      <c r="J187" s="553">
        <f>ROUND('geg ZO'!K111*VLOOKUP($F187,categorieMatVSO,5,FALSE),0)</f>
        <v>0</v>
      </c>
      <c r="K187" s="553">
        <f>ROUND('geg ZO'!L111*VLOOKUP($F187,categorieMatVSO,5,FALSE),0)</f>
        <v>0</v>
      </c>
      <c r="L187" s="553">
        <f>ROUND('geg ZO'!M111*VLOOKUP($F187,categorieMatVSO,5,FALSE),0)</f>
        <v>0</v>
      </c>
      <c r="M187" s="553">
        <f>ROUND('geg ZO'!N111*VLOOKUP($F187,categorieMatVSO,5,FALSE),0)</f>
        <v>0</v>
      </c>
      <c r="N187" s="553">
        <f>ROUND('geg ZO'!O111*VLOOKUP($F187,categorieMatVSO,5,FALSE),0)</f>
        <v>0</v>
      </c>
      <c r="O187" s="35"/>
      <c r="P187" s="25"/>
    </row>
    <row r="188" spans="2:16" x14ac:dyDescent="0.2">
      <c r="B188" s="21"/>
      <c r="C188" s="35"/>
      <c r="D188" s="191" t="s">
        <v>25</v>
      </c>
      <c r="E188" s="35"/>
      <c r="F188" s="191" t="str">
        <f t="shared" si="9"/>
        <v>categorie 2</v>
      </c>
      <c r="G188" s="71"/>
      <c r="H188" s="35"/>
      <c r="I188" s="553">
        <f>ROUND('geg ZO'!J112*VLOOKUP($F188,categorieMatVSO,5,FALSE),0)</f>
        <v>0</v>
      </c>
      <c r="J188" s="553">
        <f>ROUND('geg ZO'!K112*VLOOKUP($F188,categorieMatVSO,5,FALSE),0)</f>
        <v>0</v>
      </c>
      <c r="K188" s="553">
        <f>ROUND('geg ZO'!L112*VLOOKUP($F188,categorieMatVSO,5,FALSE),0)</f>
        <v>0</v>
      </c>
      <c r="L188" s="553">
        <f>ROUND('geg ZO'!M112*VLOOKUP($F188,categorieMatVSO,5,FALSE),0)</f>
        <v>0</v>
      </c>
      <c r="M188" s="553">
        <f>ROUND('geg ZO'!N112*VLOOKUP($F188,categorieMatVSO,5,FALSE),0)</f>
        <v>0</v>
      </c>
      <c r="N188" s="553">
        <f>ROUND('geg ZO'!O112*VLOOKUP($F188,categorieMatVSO,5,FALSE),0)</f>
        <v>0</v>
      </c>
      <c r="O188" s="35"/>
      <c r="P188" s="25"/>
    </row>
    <row r="189" spans="2:16" x14ac:dyDescent="0.2">
      <c r="B189" s="21"/>
      <c r="C189" s="35"/>
      <c r="D189" s="191"/>
      <c r="E189" s="35"/>
      <c r="F189" s="191" t="str">
        <f t="shared" si="9"/>
        <v>categorie 3</v>
      </c>
      <c r="G189" s="71"/>
      <c r="H189" s="35"/>
      <c r="I189" s="553">
        <f>ROUND('geg ZO'!J113*VLOOKUP($F189,categorieMatVSO,5,FALSE),0)</f>
        <v>0</v>
      </c>
      <c r="J189" s="553">
        <f>ROUND('geg ZO'!K113*VLOOKUP($F189,categorieMatVSO,5,FALSE),0)</f>
        <v>0</v>
      </c>
      <c r="K189" s="553">
        <f>ROUND('geg ZO'!L113*VLOOKUP($F189,categorieMatVSO,5,FALSE),0)</f>
        <v>0</v>
      </c>
      <c r="L189" s="553">
        <f>ROUND('geg ZO'!M113*VLOOKUP($F189,categorieMatVSO,5,FALSE),0)</f>
        <v>0</v>
      </c>
      <c r="M189" s="553">
        <f>ROUND('geg ZO'!N113*VLOOKUP($F189,categorieMatVSO,5,FALSE),0)</f>
        <v>0</v>
      </c>
      <c r="N189" s="553">
        <f>ROUND('geg ZO'!O113*VLOOKUP($F189,categorieMatVSO,5,FALSE),0)</f>
        <v>0</v>
      </c>
      <c r="O189" s="35"/>
      <c r="P189" s="25"/>
    </row>
    <row r="190" spans="2:16" x14ac:dyDescent="0.2">
      <c r="B190" s="21"/>
      <c r="C190" s="35"/>
      <c r="D190" s="603" t="str">
        <f>+D74</f>
        <v>School 11</v>
      </c>
      <c r="E190" s="35"/>
      <c r="F190" s="191" t="str">
        <f t="shared" si="9"/>
        <v>categorie 1</v>
      </c>
      <c r="G190" s="71"/>
      <c r="H190" s="35"/>
      <c r="I190" s="553">
        <f>ROUND('geg ZO'!J116*VLOOKUP($F190,categorieMatVSO,5,FALSE),0)</f>
        <v>0</v>
      </c>
      <c r="J190" s="553">
        <f>ROUND('geg ZO'!K116*VLOOKUP($F190,categorieMatVSO,5,FALSE),0)</f>
        <v>0</v>
      </c>
      <c r="K190" s="553">
        <f>ROUND('geg ZO'!L116*VLOOKUP($F190,categorieMatVSO,5,FALSE),0)</f>
        <v>0</v>
      </c>
      <c r="L190" s="553">
        <f>ROUND('geg ZO'!M116*VLOOKUP($F190,categorieMatVSO,5,FALSE),0)</f>
        <v>0</v>
      </c>
      <c r="M190" s="553">
        <f>ROUND('geg ZO'!N116*VLOOKUP($F190,categorieMatVSO,5,FALSE),0)</f>
        <v>0</v>
      </c>
      <c r="N190" s="553">
        <f>ROUND('geg ZO'!O116*VLOOKUP($F190,categorieMatVSO,5,FALSE),0)</f>
        <v>0</v>
      </c>
      <c r="O190" s="35"/>
      <c r="P190" s="25"/>
    </row>
    <row r="191" spans="2:16" x14ac:dyDescent="0.2">
      <c r="B191" s="21"/>
      <c r="C191" s="35"/>
      <c r="D191" s="191" t="s">
        <v>25</v>
      </c>
      <c r="E191" s="35"/>
      <c r="F191" s="191" t="str">
        <f t="shared" si="9"/>
        <v>categorie 2</v>
      </c>
      <c r="G191" s="71"/>
      <c r="H191" s="35"/>
      <c r="I191" s="553">
        <f>ROUND('geg ZO'!J117*VLOOKUP($F191,categorieMatVSO,5,FALSE),0)</f>
        <v>0</v>
      </c>
      <c r="J191" s="553">
        <f>ROUND('geg ZO'!K117*VLOOKUP($F191,categorieMatVSO,5,FALSE),0)</f>
        <v>0</v>
      </c>
      <c r="K191" s="553">
        <f>ROUND('geg ZO'!L117*VLOOKUP($F191,categorieMatVSO,5,FALSE),0)</f>
        <v>0</v>
      </c>
      <c r="L191" s="553">
        <f>ROUND('geg ZO'!M117*VLOOKUP($F191,categorieMatVSO,5,FALSE),0)</f>
        <v>0</v>
      </c>
      <c r="M191" s="553">
        <f>ROUND('geg ZO'!N117*VLOOKUP($F191,categorieMatVSO,5,FALSE),0)</f>
        <v>0</v>
      </c>
      <c r="N191" s="553">
        <f>ROUND('geg ZO'!O117*VLOOKUP($F191,categorieMatVSO,5,FALSE),0)</f>
        <v>0</v>
      </c>
      <c r="O191" s="35"/>
      <c r="P191" s="25"/>
    </row>
    <row r="192" spans="2:16" x14ac:dyDescent="0.2">
      <c r="B192" s="21"/>
      <c r="C192" s="35"/>
      <c r="D192" s="191"/>
      <c r="E192" s="35"/>
      <c r="F192" s="191" t="str">
        <f t="shared" si="9"/>
        <v>categorie 3</v>
      </c>
      <c r="G192" s="71"/>
      <c r="H192" s="35"/>
      <c r="I192" s="553">
        <f>ROUND('geg ZO'!J118*VLOOKUP($F192,categorieMatVSO,5,FALSE),0)</f>
        <v>0</v>
      </c>
      <c r="J192" s="553">
        <f>ROUND('geg ZO'!K118*VLOOKUP($F192,categorieMatVSO,5,FALSE),0)</f>
        <v>0</v>
      </c>
      <c r="K192" s="553">
        <f>ROUND('geg ZO'!L118*VLOOKUP($F192,categorieMatVSO,5,FALSE),0)</f>
        <v>0</v>
      </c>
      <c r="L192" s="553">
        <f>ROUND('geg ZO'!M118*VLOOKUP($F192,categorieMatVSO,5,FALSE),0)</f>
        <v>0</v>
      </c>
      <c r="M192" s="553">
        <f>ROUND('geg ZO'!N118*VLOOKUP($F192,categorieMatVSO,5,FALSE),0)</f>
        <v>0</v>
      </c>
      <c r="N192" s="553">
        <f>ROUND('geg ZO'!O118*VLOOKUP($F192,categorieMatVSO,5,FALSE),0)</f>
        <v>0</v>
      </c>
      <c r="O192" s="35"/>
      <c r="P192" s="25"/>
    </row>
    <row r="193" spans="2:33" x14ac:dyDescent="0.2">
      <c r="B193" s="21"/>
      <c r="C193" s="35"/>
      <c r="D193" s="603" t="str">
        <f>+D77</f>
        <v>School 12</v>
      </c>
      <c r="E193" s="35"/>
      <c r="F193" s="191" t="str">
        <f t="shared" si="9"/>
        <v>categorie 1</v>
      </c>
      <c r="G193" s="71"/>
      <c r="H193" s="35"/>
      <c r="I193" s="553">
        <f>ROUND('geg ZO'!J121*VLOOKUP($F193,categorieMatVSO,5,FALSE),0)</f>
        <v>0</v>
      </c>
      <c r="J193" s="553">
        <f>ROUND('geg ZO'!K121*VLOOKUP($F193,categorieMatVSO,5,FALSE),0)</f>
        <v>0</v>
      </c>
      <c r="K193" s="553">
        <f>ROUND('geg ZO'!L121*VLOOKUP($F193,categorieMatVSO,5,FALSE),0)</f>
        <v>0</v>
      </c>
      <c r="L193" s="553">
        <f>ROUND('geg ZO'!M121*VLOOKUP($F193,categorieMatVSO,5,FALSE),0)</f>
        <v>0</v>
      </c>
      <c r="M193" s="553">
        <f>ROUND('geg ZO'!N121*VLOOKUP($F193,categorieMatVSO,5,FALSE),0)</f>
        <v>0</v>
      </c>
      <c r="N193" s="553">
        <f>ROUND('geg ZO'!O121*VLOOKUP($F193,categorieMatVSO,5,FALSE),0)</f>
        <v>0</v>
      </c>
      <c r="O193" s="35"/>
      <c r="P193" s="25"/>
    </row>
    <row r="194" spans="2:33" x14ac:dyDescent="0.2">
      <c r="B194" s="21"/>
      <c r="C194" s="35"/>
      <c r="D194" s="191" t="s">
        <v>25</v>
      </c>
      <c r="E194" s="35"/>
      <c r="F194" s="191" t="str">
        <f t="shared" si="9"/>
        <v>categorie 2</v>
      </c>
      <c r="G194" s="71"/>
      <c r="H194" s="35"/>
      <c r="I194" s="553">
        <f>ROUND('geg ZO'!J122*VLOOKUP($F194,categorieMatVSO,5,FALSE),0)</f>
        <v>0</v>
      </c>
      <c r="J194" s="553">
        <f>ROUND('geg ZO'!K122*VLOOKUP($F194,categorieMatVSO,5,FALSE),0)</f>
        <v>0</v>
      </c>
      <c r="K194" s="553">
        <f>ROUND('geg ZO'!L122*VLOOKUP($F194,categorieMatVSO,5,FALSE),0)</f>
        <v>0</v>
      </c>
      <c r="L194" s="553">
        <f>ROUND('geg ZO'!M122*VLOOKUP($F194,categorieMatVSO,5,FALSE),0)</f>
        <v>0</v>
      </c>
      <c r="M194" s="553">
        <f>ROUND('geg ZO'!N122*VLOOKUP($F194,categorieMatVSO,5,FALSE),0)</f>
        <v>0</v>
      </c>
      <c r="N194" s="553">
        <f>ROUND('geg ZO'!O122*VLOOKUP($F194,categorieMatVSO,5,FALSE),0)</f>
        <v>0</v>
      </c>
      <c r="O194" s="35"/>
      <c r="P194" s="25"/>
    </row>
    <row r="195" spans="2:33" x14ac:dyDescent="0.2">
      <c r="B195" s="21"/>
      <c r="C195" s="35"/>
      <c r="D195" s="191"/>
      <c r="E195" s="35"/>
      <c r="F195" s="191" t="str">
        <f t="shared" si="9"/>
        <v>categorie 3</v>
      </c>
      <c r="G195" s="71"/>
      <c r="H195" s="35"/>
      <c r="I195" s="553">
        <f>ROUND('geg ZO'!J123*VLOOKUP($F195,categorieMatVSO,5,FALSE),0)</f>
        <v>0</v>
      </c>
      <c r="J195" s="553">
        <f>ROUND('geg ZO'!K123*VLOOKUP($F195,categorieMatVSO,5,FALSE),0)</f>
        <v>0</v>
      </c>
      <c r="K195" s="553">
        <f>ROUND('geg ZO'!L123*VLOOKUP($F195,categorieMatVSO,5,FALSE),0)</f>
        <v>0</v>
      </c>
      <c r="L195" s="553">
        <f>ROUND('geg ZO'!M123*VLOOKUP($F195,categorieMatVSO,5,FALSE),0)</f>
        <v>0</v>
      </c>
      <c r="M195" s="553">
        <f>ROUND('geg ZO'!N123*VLOOKUP($F195,categorieMatVSO,5,FALSE),0)</f>
        <v>0</v>
      </c>
      <c r="N195" s="553">
        <f>ROUND('geg ZO'!O123*VLOOKUP($F195,categorieMatVSO,5,FALSE),0)</f>
        <v>0</v>
      </c>
      <c r="O195" s="35"/>
      <c r="P195" s="25"/>
    </row>
    <row r="196" spans="2:33" x14ac:dyDescent="0.2">
      <c r="B196" s="21"/>
      <c r="C196" s="35"/>
      <c r="D196" s="603" t="str">
        <f>+D80</f>
        <v>School 13</v>
      </c>
      <c r="E196" s="35"/>
      <c r="F196" s="191" t="str">
        <f t="shared" si="9"/>
        <v>categorie 1</v>
      </c>
      <c r="G196" s="71"/>
      <c r="H196" s="35"/>
      <c r="I196" s="553">
        <f>ROUND('geg ZO'!J126*VLOOKUP($F196,categorieMatVSO,5,FALSE),0)</f>
        <v>0</v>
      </c>
      <c r="J196" s="553">
        <f>ROUND('geg ZO'!K126*VLOOKUP($F196,categorieMatVSO,5,FALSE),0)</f>
        <v>0</v>
      </c>
      <c r="K196" s="553">
        <f>ROUND('geg ZO'!L126*VLOOKUP($F196,categorieMatVSO,5,FALSE),0)</f>
        <v>0</v>
      </c>
      <c r="L196" s="553">
        <f>ROUND('geg ZO'!M126*VLOOKUP($F196,categorieMatVSO,5,FALSE),0)</f>
        <v>0</v>
      </c>
      <c r="M196" s="553">
        <f>ROUND('geg ZO'!N126*VLOOKUP($F196,categorieMatVSO,5,FALSE),0)</f>
        <v>0</v>
      </c>
      <c r="N196" s="553">
        <f>ROUND('geg ZO'!O126*VLOOKUP($F196,categorieMatVSO,5,FALSE),0)</f>
        <v>0</v>
      </c>
      <c r="O196" s="35"/>
      <c r="P196" s="25"/>
    </row>
    <row r="197" spans="2:33" x14ac:dyDescent="0.2">
      <c r="B197" s="21"/>
      <c r="C197" s="35"/>
      <c r="D197" s="191" t="s">
        <v>25</v>
      </c>
      <c r="E197" s="35"/>
      <c r="F197" s="191" t="str">
        <f t="shared" si="9"/>
        <v>categorie 2</v>
      </c>
      <c r="G197" s="71"/>
      <c r="H197" s="35"/>
      <c r="I197" s="553">
        <f>ROUND('geg ZO'!J127*VLOOKUP($F197,categorieMatVSO,5,FALSE),0)</f>
        <v>0</v>
      </c>
      <c r="J197" s="553">
        <f>ROUND('geg ZO'!K127*VLOOKUP($F197,categorieMatVSO,5,FALSE),0)</f>
        <v>0</v>
      </c>
      <c r="K197" s="553">
        <f>ROUND('geg ZO'!L127*VLOOKUP($F197,categorieMatVSO,5,FALSE),0)</f>
        <v>0</v>
      </c>
      <c r="L197" s="553">
        <f>ROUND('geg ZO'!M127*VLOOKUP($F197,categorieMatVSO,5,FALSE),0)</f>
        <v>0</v>
      </c>
      <c r="M197" s="553">
        <f>ROUND('geg ZO'!N127*VLOOKUP($F197,categorieMatVSO,5,FALSE),0)</f>
        <v>0</v>
      </c>
      <c r="N197" s="553">
        <f>ROUND('geg ZO'!O127*VLOOKUP($F197,categorieMatVSO,5,FALSE),0)</f>
        <v>0</v>
      </c>
      <c r="O197" s="35"/>
      <c r="P197" s="25"/>
    </row>
    <row r="198" spans="2:33" x14ac:dyDescent="0.2">
      <c r="B198" s="21"/>
      <c r="C198" s="35"/>
      <c r="D198" s="191"/>
      <c r="E198" s="35"/>
      <c r="F198" s="191" t="str">
        <f t="shared" si="9"/>
        <v>categorie 3</v>
      </c>
      <c r="G198" s="71"/>
      <c r="H198" s="35"/>
      <c r="I198" s="553">
        <f>ROUND('geg ZO'!J128*VLOOKUP($F198,categorieMatVSO,5,FALSE),0)</f>
        <v>0</v>
      </c>
      <c r="J198" s="553">
        <f>ROUND('geg ZO'!K128*VLOOKUP($F198,categorieMatVSO,5,FALSE),0)</f>
        <v>0</v>
      </c>
      <c r="K198" s="553">
        <f>ROUND('geg ZO'!L128*VLOOKUP($F198,categorieMatVSO,5,FALSE),0)</f>
        <v>0</v>
      </c>
      <c r="L198" s="553">
        <f>ROUND('geg ZO'!M128*VLOOKUP($F198,categorieMatVSO,5,FALSE),0)</f>
        <v>0</v>
      </c>
      <c r="M198" s="553">
        <f>ROUND('geg ZO'!N128*VLOOKUP($F198,categorieMatVSO,5,FALSE),0)</f>
        <v>0</v>
      </c>
      <c r="N198" s="553">
        <f>ROUND('geg ZO'!O128*VLOOKUP($F198,categorieMatVSO,5,FALSE),0)</f>
        <v>0</v>
      </c>
      <c r="O198" s="35"/>
      <c r="P198" s="25"/>
    </row>
    <row r="199" spans="2:33" x14ac:dyDescent="0.2">
      <c r="B199" s="21"/>
      <c r="C199" s="35"/>
      <c r="D199" s="603" t="str">
        <f>+D83</f>
        <v>School 14</v>
      </c>
      <c r="E199" s="35"/>
      <c r="F199" s="191" t="str">
        <f t="shared" si="9"/>
        <v>categorie 1</v>
      </c>
      <c r="G199" s="71"/>
      <c r="H199" s="35"/>
      <c r="I199" s="553">
        <f>ROUND('geg ZO'!J131*VLOOKUP($F199,categorieMatVSO,5,FALSE),0)</f>
        <v>0</v>
      </c>
      <c r="J199" s="553">
        <f>ROUND('geg ZO'!K131*VLOOKUP($F199,categorieMatVSO,5,FALSE),0)</f>
        <v>0</v>
      </c>
      <c r="K199" s="553">
        <f>ROUND('geg ZO'!L131*VLOOKUP($F199,categorieMatVSO,5,FALSE),0)</f>
        <v>0</v>
      </c>
      <c r="L199" s="553">
        <f>ROUND('geg ZO'!M131*VLOOKUP($F199,categorieMatVSO,5,FALSE),0)</f>
        <v>0</v>
      </c>
      <c r="M199" s="553">
        <f>ROUND('geg ZO'!N131*VLOOKUP($F199,categorieMatVSO,5,FALSE),0)</f>
        <v>0</v>
      </c>
      <c r="N199" s="553">
        <f>ROUND('geg ZO'!O131*VLOOKUP($F199,categorieMatVSO,5,FALSE),0)</f>
        <v>0</v>
      </c>
      <c r="O199" s="35"/>
      <c r="P199" s="25"/>
    </row>
    <row r="200" spans="2:33" x14ac:dyDescent="0.2">
      <c r="B200" s="21"/>
      <c r="C200" s="35"/>
      <c r="D200" s="191" t="s">
        <v>25</v>
      </c>
      <c r="E200" s="35"/>
      <c r="F200" s="191" t="str">
        <f t="shared" si="9"/>
        <v>categorie 2</v>
      </c>
      <c r="G200" s="71"/>
      <c r="H200" s="35"/>
      <c r="I200" s="553">
        <f>ROUND('geg ZO'!J132*VLOOKUP($F200,categorieMatVSO,5,FALSE),0)</f>
        <v>0</v>
      </c>
      <c r="J200" s="553">
        <f>ROUND('geg ZO'!K132*VLOOKUP($F200,categorieMatVSO,5,FALSE),0)</f>
        <v>0</v>
      </c>
      <c r="K200" s="553">
        <f>ROUND('geg ZO'!L132*VLOOKUP($F200,categorieMatVSO,5,FALSE),0)</f>
        <v>0</v>
      </c>
      <c r="L200" s="553">
        <f>ROUND('geg ZO'!M132*VLOOKUP($F200,categorieMatVSO,5,FALSE),0)</f>
        <v>0</v>
      </c>
      <c r="M200" s="553">
        <f>ROUND('geg ZO'!N132*VLOOKUP($F200,categorieMatVSO,5,FALSE),0)</f>
        <v>0</v>
      </c>
      <c r="N200" s="553">
        <f>ROUND('geg ZO'!O132*VLOOKUP($F200,categorieMatVSO,5,FALSE),0)</f>
        <v>0</v>
      </c>
      <c r="O200" s="35"/>
      <c r="P200" s="25"/>
    </row>
    <row r="201" spans="2:33" x14ac:dyDescent="0.2">
      <c r="B201" s="21"/>
      <c r="C201" s="35"/>
      <c r="D201" s="191"/>
      <c r="E201" s="35"/>
      <c r="F201" s="191" t="str">
        <f t="shared" si="9"/>
        <v>categorie 3</v>
      </c>
      <c r="G201" s="71"/>
      <c r="H201" s="35"/>
      <c r="I201" s="553">
        <f>ROUND('geg ZO'!J133*VLOOKUP($F201,categorieMatVSO,5,FALSE),0)</f>
        <v>0</v>
      </c>
      <c r="J201" s="553">
        <f>ROUND('geg ZO'!K133*VLOOKUP($F201,categorieMatVSO,5,FALSE),0)</f>
        <v>0</v>
      </c>
      <c r="K201" s="553">
        <f>ROUND('geg ZO'!L133*VLOOKUP($F201,categorieMatVSO,5,FALSE),0)</f>
        <v>0</v>
      </c>
      <c r="L201" s="553">
        <f>ROUND('geg ZO'!M133*VLOOKUP($F201,categorieMatVSO,5,FALSE),0)</f>
        <v>0</v>
      </c>
      <c r="M201" s="553">
        <f>ROUND('geg ZO'!N133*VLOOKUP($F201,categorieMatVSO,5,FALSE),0)</f>
        <v>0</v>
      </c>
      <c r="N201" s="553">
        <f>ROUND('geg ZO'!O133*VLOOKUP($F201,categorieMatVSO,5,FALSE),0)</f>
        <v>0</v>
      </c>
      <c r="O201" s="35"/>
      <c r="P201" s="25"/>
    </row>
    <row r="202" spans="2:33" x14ac:dyDescent="0.2">
      <c r="B202" s="21"/>
      <c r="C202" s="40"/>
      <c r="D202" s="603" t="str">
        <f>+D86</f>
        <v>School 15</v>
      </c>
      <c r="E202" s="35"/>
      <c r="F202" s="191" t="str">
        <f t="shared" si="9"/>
        <v>categorie 1</v>
      </c>
      <c r="G202" s="71"/>
      <c r="H202" s="35"/>
      <c r="I202" s="553">
        <f>ROUND('geg ZO'!J136*VLOOKUP($F202,categorieMatVSO,5,FALSE),0)</f>
        <v>0</v>
      </c>
      <c r="J202" s="553">
        <f>ROUND('geg ZO'!K136*VLOOKUP($F202,categorieMatVSO,5,FALSE),0)</f>
        <v>0</v>
      </c>
      <c r="K202" s="553">
        <f>ROUND('geg ZO'!L136*VLOOKUP($F202,categorieMatVSO,5,FALSE),0)</f>
        <v>0</v>
      </c>
      <c r="L202" s="553">
        <f>ROUND('geg ZO'!M136*VLOOKUP($F202,categorieMatVSO,5,FALSE),0)</f>
        <v>0</v>
      </c>
      <c r="M202" s="553">
        <f>ROUND('geg ZO'!N136*VLOOKUP($F202,categorieMatVSO,5,FALSE),0)</f>
        <v>0</v>
      </c>
      <c r="N202" s="553">
        <f>ROUND('geg ZO'!O136*VLOOKUP($F202,categorieMatVSO,5,FALSE),0)</f>
        <v>0</v>
      </c>
      <c r="O202" s="40"/>
      <c r="P202" s="25"/>
    </row>
    <row r="203" spans="2:33" x14ac:dyDescent="0.2">
      <c r="B203" s="21"/>
      <c r="C203" s="40"/>
      <c r="D203" s="191" t="s">
        <v>25</v>
      </c>
      <c r="E203" s="35"/>
      <c r="F203" s="191" t="str">
        <f t="shared" si="9"/>
        <v>categorie 2</v>
      </c>
      <c r="G203" s="71"/>
      <c r="H203" s="35"/>
      <c r="I203" s="553">
        <f>ROUND('geg ZO'!J137*VLOOKUP($F203,categorieMatVSO,5,FALSE),0)</f>
        <v>0</v>
      </c>
      <c r="J203" s="553">
        <f>ROUND('geg ZO'!K137*VLOOKUP($F203,categorieMatVSO,5,FALSE),0)</f>
        <v>0</v>
      </c>
      <c r="K203" s="553">
        <f>ROUND('geg ZO'!L137*VLOOKUP($F203,categorieMatVSO,5,FALSE),0)</f>
        <v>0</v>
      </c>
      <c r="L203" s="553">
        <f>ROUND('geg ZO'!M137*VLOOKUP($F203,categorieMatVSO,5,FALSE),0)</f>
        <v>0</v>
      </c>
      <c r="M203" s="553">
        <f>ROUND('geg ZO'!N137*VLOOKUP($F203,categorieMatVSO,5,FALSE),0)</f>
        <v>0</v>
      </c>
      <c r="N203" s="553">
        <f>ROUND('geg ZO'!O137*VLOOKUP($F203,categorieMatVSO,5,FALSE),0)</f>
        <v>0</v>
      </c>
      <c r="O203" s="40"/>
      <c r="P203" s="25"/>
    </row>
    <row r="204" spans="2:33" x14ac:dyDescent="0.2">
      <c r="B204" s="21"/>
      <c r="C204" s="40"/>
      <c r="D204" s="191"/>
      <c r="E204" s="35"/>
      <c r="F204" s="191" t="str">
        <f t="shared" si="9"/>
        <v>categorie 3</v>
      </c>
      <c r="G204" s="71"/>
      <c r="H204" s="35"/>
      <c r="I204" s="553">
        <f>ROUND('geg ZO'!J138*VLOOKUP($F204,categorieMatVSO,5,FALSE),0)</f>
        <v>0</v>
      </c>
      <c r="J204" s="553">
        <f>ROUND('geg ZO'!K138*VLOOKUP($F204,categorieMatVSO,5,FALSE),0)</f>
        <v>0</v>
      </c>
      <c r="K204" s="553">
        <f>ROUND('geg ZO'!L138*VLOOKUP($F204,categorieMatVSO,5,FALSE),0)</f>
        <v>0</v>
      </c>
      <c r="L204" s="553">
        <f>ROUND('geg ZO'!M138*VLOOKUP($F204,categorieMatVSO,5,FALSE),0)</f>
        <v>0</v>
      </c>
      <c r="M204" s="553">
        <f>ROUND('geg ZO'!N138*VLOOKUP($F204,categorieMatVSO,5,FALSE),0)</f>
        <v>0</v>
      </c>
      <c r="N204" s="553">
        <f>ROUND('geg ZO'!O138*VLOOKUP($F204,categorieMatVSO,5,FALSE),0)</f>
        <v>0</v>
      </c>
      <c r="O204" s="40"/>
      <c r="P204" s="25"/>
    </row>
    <row r="205" spans="2:33" x14ac:dyDescent="0.2">
      <c r="B205" s="21"/>
      <c r="C205" s="35"/>
      <c r="D205" s="603" t="str">
        <f>+D89</f>
        <v>School 16</v>
      </c>
      <c r="E205" s="35"/>
      <c r="F205" s="191" t="str">
        <f t="shared" ref="F205:F246" si="10">+F89</f>
        <v>categorie 1</v>
      </c>
      <c r="G205" s="71"/>
      <c r="H205" s="35"/>
      <c r="I205" s="553">
        <f>ROUND('geg ZO'!J141*VLOOKUP($F205,categorieMatVSO,5,FALSE),0)</f>
        <v>0</v>
      </c>
      <c r="J205" s="553">
        <f>ROUND('geg ZO'!K141*VLOOKUP($F205,categorieMatVSO,5,FALSE),0)</f>
        <v>0</v>
      </c>
      <c r="K205" s="553">
        <f>ROUND('geg ZO'!L141*VLOOKUP($F205,categorieMatVSO,5,FALSE),0)</f>
        <v>0</v>
      </c>
      <c r="L205" s="553">
        <f>ROUND('geg ZO'!M141*VLOOKUP($F205,categorieMatVSO,5,FALSE),0)</f>
        <v>0</v>
      </c>
      <c r="M205" s="553">
        <f>ROUND('geg ZO'!N141*VLOOKUP($F205,categorieMatVSO,5,FALSE),0)</f>
        <v>0</v>
      </c>
      <c r="N205" s="553">
        <f>ROUND('geg ZO'!O141*VLOOKUP($F205,categorieMatVSO,5,FALSE),0)</f>
        <v>0</v>
      </c>
      <c r="O205" s="35"/>
      <c r="P205" s="25"/>
    </row>
    <row r="206" spans="2:33" x14ac:dyDescent="0.2">
      <c r="B206" s="21"/>
      <c r="C206" s="35"/>
      <c r="D206" s="191"/>
      <c r="E206" s="35"/>
      <c r="F206" s="191" t="str">
        <f t="shared" si="10"/>
        <v>categorie 2</v>
      </c>
      <c r="G206" s="71"/>
      <c r="H206" s="35"/>
      <c r="I206" s="553">
        <f>ROUND('geg ZO'!J142*VLOOKUP($F206,categorieMatVSO,5,FALSE),0)</f>
        <v>0</v>
      </c>
      <c r="J206" s="553">
        <f>ROUND('geg ZO'!K142*VLOOKUP($F206,categorieMatVSO,5,FALSE),0)</f>
        <v>0</v>
      </c>
      <c r="K206" s="553">
        <f>ROUND('geg ZO'!L142*VLOOKUP($F206,categorieMatVSO,5,FALSE),0)</f>
        <v>0</v>
      </c>
      <c r="L206" s="553">
        <f>ROUND('geg ZO'!M142*VLOOKUP($F206,categorieMatVSO,5,FALSE),0)</f>
        <v>0</v>
      </c>
      <c r="M206" s="553">
        <f>ROUND('geg ZO'!N142*VLOOKUP($F206,categorieMatVSO,5,FALSE),0)</f>
        <v>0</v>
      </c>
      <c r="N206" s="553">
        <f>ROUND('geg ZO'!O142*VLOOKUP($F206,categorieMatVSO,5,FALSE),0)</f>
        <v>0</v>
      </c>
      <c r="O206" s="35"/>
      <c r="P206" s="25"/>
      <c r="R206" s="848"/>
      <c r="S206" s="848"/>
      <c r="T206" s="848"/>
      <c r="U206" s="848"/>
      <c r="V206" s="848"/>
      <c r="W206" s="848"/>
      <c r="X206" s="848"/>
      <c r="Y206" s="848"/>
      <c r="Z206" s="848"/>
      <c r="AA206" s="848"/>
      <c r="AB206" s="848"/>
      <c r="AC206" s="848"/>
      <c r="AD206" s="848"/>
      <c r="AE206" s="848"/>
      <c r="AF206" s="848"/>
      <c r="AG206" s="848"/>
    </row>
    <row r="207" spans="2:33" x14ac:dyDescent="0.2">
      <c r="B207" s="21"/>
      <c r="C207" s="35"/>
      <c r="D207" s="191"/>
      <c r="E207" s="35"/>
      <c r="F207" s="191" t="str">
        <f t="shared" si="10"/>
        <v>categorie 3</v>
      </c>
      <c r="G207" s="71"/>
      <c r="H207" s="35"/>
      <c r="I207" s="553">
        <f>ROUND('geg ZO'!J143*VLOOKUP($F207,categorieMatVSO,5,FALSE),0)</f>
        <v>0</v>
      </c>
      <c r="J207" s="553">
        <f>ROUND('geg ZO'!K143*VLOOKUP($F207,categorieMatVSO,5,FALSE),0)</f>
        <v>0</v>
      </c>
      <c r="K207" s="553">
        <f>ROUND('geg ZO'!L143*VLOOKUP($F207,categorieMatVSO,5,FALSE),0)</f>
        <v>0</v>
      </c>
      <c r="L207" s="553">
        <f>ROUND('geg ZO'!M143*VLOOKUP($F207,categorieMatVSO,5,FALSE),0)</f>
        <v>0</v>
      </c>
      <c r="M207" s="553">
        <f>ROUND('geg ZO'!N143*VLOOKUP($F207,categorieMatVSO,5,FALSE),0)</f>
        <v>0</v>
      </c>
      <c r="N207" s="553">
        <f>ROUND('geg ZO'!O143*VLOOKUP($F207,categorieMatVSO,5,FALSE),0)</f>
        <v>0</v>
      </c>
      <c r="O207" s="35"/>
      <c r="P207" s="25"/>
      <c r="R207" s="848"/>
      <c r="S207" s="848"/>
      <c r="T207" s="848"/>
      <c r="U207" s="848"/>
      <c r="V207" s="848"/>
      <c r="W207" s="848"/>
      <c r="X207" s="848"/>
      <c r="Y207" s="848"/>
      <c r="Z207" s="848"/>
      <c r="AA207" s="848"/>
      <c r="AB207" s="848"/>
      <c r="AC207" s="848"/>
      <c r="AD207" s="848"/>
      <c r="AE207" s="848"/>
      <c r="AF207" s="848"/>
      <c r="AG207" s="848"/>
    </row>
    <row r="208" spans="2:33" x14ac:dyDescent="0.2">
      <c r="B208" s="21"/>
      <c r="C208" s="35"/>
      <c r="D208" s="603" t="str">
        <f>+D92</f>
        <v>School 17</v>
      </c>
      <c r="E208" s="35"/>
      <c r="F208" s="191" t="str">
        <f t="shared" si="10"/>
        <v>categorie 1</v>
      </c>
      <c r="G208" s="71"/>
      <c r="H208" s="35"/>
      <c r="I208" s="553">
        <f>ROUND('geg ZO'!J146*VLOOKUP($F208,categorieMatVSO,5,FALSE),0)</f>
        <v>0</v>
      </c>
      <c r="J208" s="553">
        <f>ROUND('geg ZO'!K146*VLOOKUP($F208,categorieMatVSO,5,FALSE),0)</f>
        <v>0</v>
      </c>
      <c r="K208" s="553">
        <f>ROUND('geg ZO'!L146*VLOOKUP($F208,categorieMatVSO,5,FALSE),0)</f>
        <v>0</v>
      </c>
      <c r="L208" s="553">
        <f>ROUND('geg ZO'!M146*VLOOKUP($F208,categorieMatVSO,5,FALSE),0)</f>
        <v>0</v>
      </c>
      <c r="M208" s="553">
        <f>ROUND('geg ZO'!N146*VLOOKUP($F208,categorieMatVSO,5,FALSE),0)</f>
        <v>0</v>
      </c>
      <c r="N208" s="553">
        <f>ROUND('geg ZO'!O146*VLOOKUP($F208,categorieMatVSO,5,FALSE),0)</f>
        <v>0</v>
      </c>
      <c r="O208" s="35"/>
      <c r="P208" s="25"/>
      <c r="R208" s="848"/>
      <c r="S208" s="848"/>
      <c r="T208" s="848"/>
      <c r="U208" s="848"/>
      <c r="V208" s="848"/>
      <c r="W208" s="848"/>
      <c r="X208" s="848"/>
      <c r="Y208" s="848"/>
      <c r="Z208" s="848"/>
      <c r="AA208" s="848"/>
      <c r="AB208" s="848"/>
      <c r="AC208" s="848"/>
      <c r="AD208" s="848"/>
      <c r="AE208" s="848"/>
      <c r="AF208" s="848"/>
      <c r="AG208" s="848"/>
    </row>
    <row r="209" spans="2:33" x14ac:dyDescent="0.2">
      <c r="B209" s="21"/>
      <c r="C209" s="35"/>
      <c r="D209" s="191"/>
      <c r="E209" s="35"/>
      <c r="F209" s="191" t="str">
        <f t="shared" si="10"/>
        <v>categorie 2</v>
      </c>
      <c r="G209" s="71"/>
      <c r="H209" s="35"/>
      <c r="I209" s="553">
        <f>ROUND('geg ZO'!J147*VLOOKUP($F209,categorieMatVSO,5,FALSE),0)</f>
        <v>0</v>
      </c>
      <c r="J209" s="553">
        <f>ROUND('geg ZO'!K147*VLOOKUP($F209,categorieMatVSO,5,FALSE),0)</f>
        <v>0</v>
      </c>
      <c r="K209" s="553">
        <f>ROUND('geg ZO'!L147*VLOOKUP($F209,categorieMatVSO,5,FALSE),0)</f>
        <v>0</v>
      </c>
      <c r="L209" s="553">
        <f>ROUND('geg ZO'!M147*VLOOKUP($F209,categorieMatVSO,5,FALSE),0)</f>
        <v>0</v>
      </c>
      <c r="M209" s="553">
        <f>ROUND('geg ZO'!N147*VLOOKUP($F209,categorieMatVSO,5,FALSE),0)</f>
        <v>0</v>
      </c>
      <c r="N209" s="553">
        <f>ROUND('geg ZO'!O147*VLOOKUP($F209,categorieMatVSO,5,FALSE),0)</f>
        <v>0</v>
      </c>
      <c r="O209" s="35"/>
      <c r="P209" s="25"/>
      <c r="R209" s="848"/>
      <c r="S209" s="848"/>
      <c r="T209" s="848"/>
      <c r="U209" s="848"/>
      <c r="V209" s="848"/>
      <c r="W209" s="848"/>
      <c r="X209" s="848"/>
      <c r="Y209" s="848"/>
      <c r="Z209" s="848"/>
      <c r="AA209" s="848"/>
      <c r="AB209" s="848"/>
      <c r="AC209" s="848"/>
      <c r="AD209" s="848"/>
      <c r="AE209" s="848"/>
      <c r="AF209" s="848"/>
      <c r="AG209" s="848"/>
    </row>
    <row r="210" spans="2:33" x14ac:dyDescent="0.2">
      <c r="B210" s="21"/>
      <c r="C210" s="35"/>
      <c r="D210" s="191"/>
      <c r="E210" s="35"/>
      <c r="F210" s="191" t="str">
        <f t="shared" si="10"/>
        <v>categorie 3</v>
      </c>
      <c r="G210" s="71"/>
      <c r="H210" s="35"/>
      <c r="I210" s="553">
        <f>ROUND('geg ZO'!J148*VLOOKUP($F210,categorieMatVSO,5,FALSE),0)</f>
        <v>0</v>
      </c>
      <c r="J210" s="553">
        <f>ROUND('geg ZO'!K148*VLOOKUP($F210,categorieMatVSO,5,FALSE),0)</f>
        <v>0</v>
      </c>
      <c r="K210" s="553">
        <f>ROUND('geg ZO'!L148*VLOOKUP($F210,categorieMatVSO,5,FALSE),0)</f>
        <v>0</v>
      </c>
      <c r="L210" s="553">
        <f>ROUND('geg ZO'!M148*VLOOKUP($F210,categorieMatVSO,5,FALSE),0)</f>
        <v>0</v>
      </c>
      <c r="M210" s="553">
        <f>ROUND('geg ZO'!N148*VLOOKUP($F210,categorieMatVSO,5,FALSE),0)</f>
        <v>0</v>
      </c>
      <c r="N210" s="553">
        <f>ROUND('geg ZO'!O148*VLOOKUP($F210,categorieMatVSO,5,FALSE),0)</f>
        <v>0</v>
      </c>
      <c r="O210" s="35"/>
      <c r="P210" s="25"/>
      <c r="R210" s="848"/>
      <c r="S210" s="848"/>
      <c r="T210" s="848"/>
      <c r="U210" s="848"/>
      <c r="V210" s="848"/>
      <c r="W210" s="848"/>
      <c r="X210" s="848"/>
      <c r="Y210" s="848"/>
      <c r="Z210" s="848"/>
      <c r="AA210" s="848"/>
      <c r="AB210" s="848"/>
      <c r="AC210" s="848"/>
      <c r="AD210" s="848"/>
      <c r="AE210" s="848"/>
      <c r="AF210" s="848"/>
      <c r="AG210" s="848"/>
    </row>
    <row r="211" spans="2:33" x14ac:dyDescent="0.2">
      <c r="B211" s="21"/>
      <c r="C211" s="35"/>
      <c r="D211" s="603" t="str">
        <f>+D95</f>
        <v>School 18</v>
      </c>
      <c r="E211" s="35"/>
      <c r="F211" s="191" t="str">
        <f t="shared" si="10"/>
        <v>categorie 1</v>
      </c>
      <c r="G211" s="71"/>
      <c r="H211" s="35"/>
      <c r="I211" s="553">
        <f>ROUND('geg ZO'!J151*VLOOKUP($F211,categorieMatVSO,5,FALSE),0)</f>
        <v>0</v>
      </c>
      <c r="J211" s="553">
        <f>ROUND('geg ZO'!K151*VLOOKUP($F211,categorieMatVSO,5,FALSE),0)</f>
        <v>0</v>
      </c>
      <c r="K211" s="553">
        <f>ROUND('geg ZO'!L151*VLOOKUP($F211,categorieMatVSO,5,FALSE),0)</f>
        <v>0</v>
      </c>
      <c r="L211" s="553">
        <f>ROUND('geg ZO'!M151*VLOOKUP($F211,categorieMatVSO,5,FALSE),0)</f>
        <v>0</v>
      </c>
      <c r="M211" s="553">
        <f>ROUND('geg ZO'!N151*VLOOKUP($F211,categorieMatVSO,5,FALSE),0)</f>
        <v>0</v>
      </c>
      <c r="N211" s="553">
        <f>ROUND('geg ZO'!O151*VLOOKUP($F211,categorieMatVSO,5,FALSE),0)</f>
        <v>0</v>
      </c>
      <c r="O211" s="35"/>
      <c r="P211" s="25"/>
      <c r="R211" s="848"/>
      <c r="S211" s="848"/>
      <c r="T211" s="848"/>
      <c r="U211" s="848"/>
      <c r="V211" s="848"/>
      <c r="W211" s="848"/>
      <c r="X211" s="848"/>
      <c r="Y211" s="848"/>
      <c r="Z211" s="848"/>
      <c r="AA211" s="848"/>
      <c r="AB211" s="848"/>
      <c r="AC211" s="848"/>
      <c r="AD211" s="848"/>
      <c r="AE211" s="848"/>
      <c r="AF211" s="848"/>
      <c r="AG211" s="848"/>
    </row>
    <row r="212" spans="2:33" x14ac:dyDescent="0.2">
      <c r="B212" s="21"/>
      <c r="C212" s="35"/>
      <c r="D212" s="191"/>
      <c r="E212" s="35"/>
      <c r="F212" s="191" t="str">
        <f t="shared" si="10"/>
        <v>categorie 2</v>
      </c>
      <c r="G212" s="71"/>
      <c r="H212" s="35"/>
      <c r="I212" s="553">
        <f>ROUND('geg ZO'!J152*VLOOKUP($F212,categorieMatVSO,5,FALSE),0)</f>
        <v>0</v>
      </c>
      <c r="J212" s="553">
        <f>ROUND('geg ZO'!K152*VLOOKUP($F212,categorieMatVSO,5,FALSE),0)</f>
        <v>0</v>
      </c>
      <c r="K212" s="553">
        <f>ROUND('geg ZO'!L152*VLOOKUP($F212,categorieMatVSO,5,FALSE),0)</f>
        <v>0</v>
      </c>
      <c r="L212" s="553">
        <f>ROUND('geg ZO'!M152*VLOOKUP($F212,categorieMatVSO,5,FALSE),0)</f>
        <v>0</v>
      </c>
      <c r="M212" s="553">
        <f>ROUND('geg ZO'!N152*VLOOKUP($F212,categorieMatVSO,5,FALSE),0)</f>
        <v>0</v>
      </c>
      <c r="N212" s="553">
        <f>ROUND('geg ZO'!O152*VLOOKUP($F212,categorieMatVSO,5,FALSE),0)</f>
        <v>0</v>
      </c>
      <c r="O212" s="35"/>
      <c r="P212" s="25"/>
    </row>
    <row r="213" spans="2:33" x14ac:dyDescent="0.2">
      <c r="B213" s="21"/>
      <c r="C213" s="35"/>
      <c r="D213" s="191"/>
      <c r="E213" s="35"/>
      <c r="F213" s="191" t="str">
        <f t="shared" si="10"/>
        <v>categorie 3</v>
      </c>
      <c r="G213" s="71"/>
      <c r="H213" s="35"/>
      <c r="I213" s="553">
        <f>ROUND('geg ZO'!J153*VLOOKUP($F213,categorieMatVSO,5,FALSE),0)</f>
        <v>0</v>
      </c>
      <c r="J213" s="553">
        <f>ROUND('geg ZO'!K153*VLOOKUP($F213,categorieMatVSO,5,FALSE),0)</f>
        <v>0</v>
      </c>
      <c r="K213" s="553">
        <f>ROUND('geg ZO'!L153*VLOOKUP($F213,categorieMatVSO,5,FALSE),0)</f>
        <v>0</v>
      </c>
      <c r="L213" s="553">
        <f>ROUND('geg ZO'!M153*VLOOKUP($F213,categorieMatVSO,5,FALSE),0)</f>
        <v>0</v>
      </c>
      <c r="M213" s="553">
        <f>ROUND('geg ZO'!N153*VLOOKUP($F213,categorieMatVSO,5,FALSE),0)</f>
        <v>0</v>
      </c>
      <c r="N213" s="553">
        <f>ROUND('geg ZO'!O153*VLOOKUP($F213,categorieMatVSO,5,FALSE),0)</f>
        <v>0</v>
      </c>
      <c r="O213" s="35"/>
      <c r="P213" s="25"/>
    </row>
    <row r="214" spans="2:33" x14ac:dyDescent="0.2">
      <c r="B214" s="21"/>
      <c r="C214" s="35"/>
      <c r="D214" s="603" t="str">
        <f>+D98</f>
        <v>School 19</v>
      </c>
      <c r="E214" s="35"/>
      <c r="F214" s="191" t="str">
        <f t="shared" si="10"/>
        <v>categorie 1</v>
      </c>
      <c r="G214" s="71"/>
      <c r="H214" s="35"/>
      <c r="I214" s="553">
        <f>ROUND('geg ZO'!J156*VLOOKUP($F214,categorieMatVSO,5,FALSE),0)</f>
        <v>0</v>
      </c>
      <c r="J214" s="553">
        <f>ROUND('geg ZO'!K156*VLOOKUP($F214,categorieMatVSO,5,FALSE),0)</f>
        <v>0</v>
      </c>
      <c r="K214" s="553">
        <f>ROUND('geg ZO'!L156*VLOOKUP($F214,categorieMatVSO,5,FALSE),0)</f>
        <v>0</v>
      </c>
      <c r="L214" s="553">
        <f>ROUND('geg ZO'!M156*VLOOKUP($F214,categorieMatVSO,5,FALSE),0)</f>
        <v>0</v>
      </c>
      <c r="M214" s="553">
        <f>ROUND('geg ZO'!N156*VLOOKUP($F214,categorieMatVSO,5,FALSE),0)</f>
        <v>0</v>
      </c>
      <c r="N214" s="553">
        <f>ROUND('geg ZO'!O156*VLOOKUP($F214,categorieMatVSO,5,FALSE),0)</f>
        <v>0</v>
      </c>
      <c r="O214" s="35"/>
      <c r="P214" s="25"/>
    </row>
    <row r="215" spans="2:33" x14ac:dyDescent="0.2">
      <c r="B215" s="21"/>
      <c r="C215" s="35"/>
      <c r="D215" s="191"/>
      <c r="E215" s="35"/>
      <c r="F215" s="191" t="str">
        <f t="shared" si="10"/>
        <v>categorie 2</v>
      </c>
      <c r="G215" s="71"/>
      <c r="H215" s="35"/>
      <c r="I215" s="553">
        <f>ROUND('geg ZO'!J157*VLOOKUP($F215,categorieMatVSO,5,FALSE),0)</f>
        <v>0</v>
      </c>
      <c r="J215" s="553">
        <f>ROUND('geg ZO'!K157*VLOOKUP($F215,categorieMatVSO,5,FALSE),0)</f>
        <v>0</v>
      </c>
      <c r="K215" s="553">
        <f>ROUND('geg ZO'!L157*VLOOKUP($F215,categorieMatVSO,5,FALSE),0)</f>
        <v>0</v>
      </c>
      <c r="L215" s="553">
        <f>ROUND('geg ZO'!M157*VLOOKUP($F215,categorieMatVSO,5,FALSE),0)</f>
        <v>0</v>
      </c>
      <c r="M215" s="553">
        <f>ROUND('geg ZO'!N157*VLOOKUP($F215,categorieMatVSO,5,FALSE),0)</f>
        <v>0</v>
      </c>
      <c r="N215" s="553">
        <f>ROUND('geg ZO'!O157*VLOOKUP($F215,categorieMatVSO,5,FALSE),0)</f>
        <v>0</v>
      </c>
      <c r="O215" s="35"/>
      <c r="P215" s="25"/>
    </row>
    <row r="216" spans="2:33" x14ac:dyDescent="0.2">
      <c r="B216" s="21"/>
      <c r="C216" s="35"/>
      <c r="D216" s="191"/>
      <c r="E216" s="35"/>
      <c r="F216" s="191" t="str">
        <f t="shared" si="10"/>
        <v>categorie 3</v>
      </c>
      <c r="G216" s="71"/>
      <c r="H216" s="35"/>
      <c r="I216" s="553">
        <f>ROUND('geg ZO'!J158*VLOOKUP($F216,categorieMatVSO,5,FALSE),0)</f>
        <v>0</v>
      </c>
      <c r="J216" s="553">
        <f>ROUND('geg ZO'!K158*VLOOKUP($F216,categorieMatVSO,5,FALSE),0)</f>
        <v>0</v>
      </c>
      <c r="K216" s="553">
        <f>ROUND('geg ZO'!L158*VLOOKUP($F216,categorieMatVSO,5,FALSE),0)</f>
        <v>0</v>
      </c>
      <c r="L216" s="553">
        <f>ROUND('geg ZO'!M158*VLOOKUP($F216,categorieMatVSO,5,FALSE),0)</f>
        <v>0</v>
      </c>
      <c r="M216" s="553">
        <f>ROUND('geg ZO'!N158*VLOOKUP($F216,categorieMatVSO,5,FALSE),0)</f>
        <v>0</v>
      </c>
      <c r="N216" s="553">
        <f>ROUND('geg ZO'!O158*VLOOKUP($F216,categorieMatVSO,5,FALSE),0)</f>
        <v>0</v>
      </c>
      <c r="O216" s="35"/>
      <c r="P216" s="25"/>
    </row>
    <row r="217" spans="2:33" x14ac:dyDescent="0.2">
      <c r="B217" s="21"/>
      <c r="C217" s="35"/>
      <c r="D217" s="603" t="str">
        <f>+D101</f>
        <v>School 20</v>
      </c>
      <c r="E217" s="35"/>
      <c r="F217" s="191" t="str">
        <f t="shared" si="10"/>
        <v>categorie 1</v>
      </c>
      <c r="G217" s="71"/>
      <c r="H217" s="35"/>
      <c r="I217" s="553">
        <f>ROUND('geg ZO'!J161*VLOOKUP($F217,categorieMatVSO,5,FALSE),0)</f>
        <v>0</v>
      </c>
      <c r="J217" s="553">
        <f>ROUND('geg ZO'!K161*VLOOKUP($F217,categorieMatVSO,5,FALSE),0)</f>
        <v>0</v>
      </c>
      <c r="K217" s="553">
        <f>ROUND('geg ZO'!L161*VLOOKUP($F217,categorieMatVSO,5,FALSE),0)</f>
        <v>0</v>
      </c>
      <c r="L217" s="553">
        <f>ROUND('geg ZO'!M161*VLOOKUP($F217,categorieMatVSO,5,FALSE),0)</f>
        <v>0</v>
      </c>
      <c r="M217" s="553">
        <f>ROUND('geg ZO'!N161*VLOOKUP($F217,categorieMatVSO,5,FALSE),0)</f>
        <v>0</v>
      </c>
      <c r="N217" s="553">
        <f>ROUND('geg ZO'!O161*VLOOKUP($F217,categorieMatVSO,5,FALSE),0)</f>
        <v>0</v>
      </c>
      <c r="O217" s="35"/>
      <c r="P217" s="25"/>
    </row>
    <row r="218" spans="2:33" x14ac:dyDescent="0.2">
      <c r="B218" s="21"/>
      <c r="C218" s="35"/>
      <c r="D218" s="191"/>
      <c r="E218" s="35"/>
      <c r="F218" s="191" t="str">
        <f t="shared" si="10"/>
        <v>categorie 2</v>
      </c>
      <c r="G218" s="71"/>
      <c r="H218" s="35"/>
      <c r="I218" s="553">
        <f>ROUND('geg ZO'!J162*VLOOKUP($F218,categorieMatVSO,5,FALSE),0)</f>
        <v>0</v>
      </c>
      <c r="J218" s="553">
        <f>ROUND('geg ZO'!K162*VLOOKUP($F218,categorieMatVSO,5,FALSE),0)</f>
        <v>0</v>
      </c>
      <c r="K218" s="553">
        <f>ROUND('geg ZO'!L162*VLOOKUP($F218,categorieMatVSO,5,FALSE),0)</f>
        <v>0</v>
      </c>
      <c r="L218" s="553">
        <f>ROUND('geg ZO'!M162*VLOOKUP($F218,categorieMatVSO,5,FALSE),0)</f>
        <v>0</v>
      </c>
      <c r="M218" s="553">
        <f>ROUND('geg ZO'!N162*VLOOKUP($F218,categorieMatVSO,5,FALSE),0)</f>
        <v>0</v>
      </c>
      <c r="N218" s="553">
        <f>ROUND('geg ZO'!O162*VLOOKUP($F218,categorieMatVSO,5,FALSE),0)</f>
        <v>0</v>
      </c>
      <c r="O218" s="35"/>
      <c r="P218" s="25"/>
    </row>
    <row r="219" spans="2:33" x14ac:dyDescent="0.2">
      <c r="B219" s="21"/>
      <c r="C219" s="35"/>
      <c r="D219" s="191"/>
      <c r="E219" s="35"/>
      <c r="F219" s="191" t="str">
        <f t="shared" si="10"/>
        <v>categorie 3</v>
      </c>
      <c r="G219" s="71"/>
      <c r="H219" s="35"/>
      <c r="I219" s="553">
        <f>ROUND('geg ZO'!J163*VLOOKUP($F219,categorieMatVSO,5,FALSE),0)</f>
        <v>0</v>
      </c>
      <c r="J219" s="553">
        <f>ROUND('geg ZO'!K163*VLOOKUP($F219,categorieMatVSO,5,FALSE),0)</f>
        <v>0</v>
      </c>
      <c r="K219" s="553">
        <f>ROUND('geg ZO'!L163*VLOOKUP($F219,categorieMatVSO,5,FALSE),0)</f>
        <v>0</v>
      </c>
      <c r="L219" s="553">
        <f>ROUND('geg ZO'!M163*VLOOKUP($F219,categorieMatVSO,5,FALSE),0)</f>
        <v>0</v>
      </c>
      <c r="M219" s="553">
        <f>ROUND('geg ZO'!N163*VLOOKUP($F219,categorieMatVSO,5,FALSE),0)</f>
        <v>0</v>
      </c>
      <c r="N219" s="553">
        <f>ROUND('geg ZO'!O163*VLOOKUP($F219,categorieMatVSO,5,FALSE),0)</f>
        <v>0</v>
      </c>
      <c r="O219" s="35"/>
      <c r="P219" s="25"/>
    </row>
    <row r="220" spans="2:33" x14ac:dyDescent="0.2">
      <c r="B220" s="21"/>
      <c r="C220" s="35"/>
      <c r="D220" s="603" t="str">
        <f>+D104</f>
        <v>School 21</v>
      </c>
      <c r="E220" s="35"/>
      <c r="F220" s="191" t="str">
        <f t="shared" si="10"/>
        <v>categorie 1</v>
      </c>
      <c r="G220" s="71"/>
      <c r="H220" s="35"/>
      <c r="I220" s="553">
        <f>ROUND('geg ZO'!J166*VLOOKUP($F220,categorieMatVSO,5,FALSE),0)</f>
        <v>0</v>
      </c>
      <c r="J220" s="553">
        <f>ROUND('geg ZO'!K166*VLOOKUP($F220,categorieMatVSO,5,FALSE),0)</f>
        <v>0</v>
      </c>
      <c r="K220" s="553">
        <f>ROUND('geg ZO'!L166*VLOOKUP($F220,categorieMatVSO,5,FALSE),0)</f>
        <v>0</v>
      </c>
      <c r="L220" s="553">
        <f>ROUND('geg ZO'!M166*VLOOKUP($F220,categorieMatVSO,5,FALSE),0)</f>
        <v>0</v>
      </c>
      <c r="M220" s="553">
        <f>ROUND('geg ZO'!N166*VLOOKUP($F220,categorieMatVSO,5,FALSE),0)</f>
        <v>0</v>
      </c>
      <c r="N220" s="553">
        <f>ROUND('geg ZO'!O166*VLOOKUP($F220,categorieMatVSO,5,FALSE),0)</f>
        <v>0</v>
      </c>
      <c r="O220" s="35"/>
      <c r="P220" s="25"/>
    </row>
    <row r="221" spans="2:33" x14ac:dyDescent="0.2">
      <c r="B221" s="21"/>
      <c r="C221" s="35"/>
      <c r="D221" s="191"/>
      <c r="E221" s="35"/>
      <c r="F221" s="191" t="str">
        <f t="shared" si="10"/>
        <v>categorie 2</v>
      </c>
      <c r="G221" s="71"/>
      <c r="H221" s="35"/>
      <c r="I221" s="553">
        <f>ROUND('geg ZO'!J167*VLOOKUP($F221,categorieMatVSO,5,FALSE),0)</f>
        <v>0</v>
      </c>
      <c r="J221" s="553">
        <f>ROUND('geg ZO'!K167*VLOOKUP($F221,categorieMatVSO,5,FALSE),0)</f>
        <v>0</v>
      </c>
      <c r="K221" s="553">
        <f>ROUND('geg ZO'!L167*VLOOKUP($F221,categorieMatVSO,5,FALSE),0)</f>
        <v>0</v>
      </c>
      <c r="L221" s="553">
        <f>ROUND('geg ZO'!M167*VLOOKUP($F221,categorieMatVSO,5,FALSE),0)</f>
        <v>0</v>
      </c>
      <c r="M221" s="553">
        <f>ROUND('geg ZO'!N167*VLOOKUP($F221,categorieMatVSO,5,FALSE),0)</f>
        <v>0</v>
      </c>
      <c r="N221" s="553">
        <f>ROUND('geg ZO'!O167*VLOOKUP($F221,categorieMatVSO,5,FALSE),0)</f>
        <v>0</v>
      </c>
      <c r="O221" s="35"/>
      <c r="P221" s="25"/>
    </row>
    <row r="222" spans="2:33" x14ac:dyDescent="0.2">
      <c r="B222" s="21"/>
      <c r="C222" s="35"/>
      <c r="D222" s="191"/>
      <c r="E222" s="35"/>
      <c r="F222" s="191" t="str">
        <f t="shared" si="10"/>
        <v>categorie 3</v>
      </c>
      <c r="G222" s="71"/>
      <c r="H222" s="35"/>
      <c r="I222" s="553">
        <f>ROUND('geg ZO'!J168*VLOOKUP($F222,categorieMatVSO,5,FALSE),0)</f>
        <v>0</v>
      </c>
      <c r="J222" s="553">
        <f>ROUND('geg ZO'!K168*VLOOKUP($F222,categorieMatVSO,5,FALSE),0)</f>
        <v>0</v>
      </c>
      <c r="K222" s="553">
        <f>ROUND('geg ZO'!L168*VLOOKUP($F222,categorieMatVSO,5,FALSE),0)</f>
        <v>0</v>
      </c>
      <c r="L222" s="553">
        <f>ROUND('geg ZO'!M168*VLOOKUP($F222,categorieMatVSO,5,FALSE),0)</f>
        <v>0</v>
      </c>
      <c r="M222" s="553">
        <f>ROUND('geg ZO'!N168*VLOOKUP($F222,categorieMatVSO,5,FALSE),0)</f>
        <v>0</v>
      </c>
      <c r="N222" s="553">
        <f>ROUND('geg ZO'!O168*VLOOKUP($F222,categorieMatVSO,5,FALSE),0)</f>
        <v>0</v>
      </c>
      <c r="O222" s="35"/>
      <c r="P222" s="25"/>
    </row>
    <row r="223" spans="2:33" x14ac:dyDescent="0.2">
      <c r="B223" s="21"/>
      <c r="C223" s="35"/>
      <c r="D223" s="603" t="str">
        <f>+D107</f>
        <v>School 22</v>
      </c>
      <c r="E223" s="35"/>
      <c r="F223" s="191" t="str">
        <f t="shared" si="10"/>
        <v>categorie 1</v>
      </c>
      <c r="G223" s="71"/>
      <c r="H223" s="35"/>
      <c r="I223" s="553">
        <f>ROUND('geg ZO'!J171*VLOOKUP($F223,categorieMatVSO,5,FALSE),0)</f>
        <v>0</v>
      </c>
      <c r="J223" s="553">
        <f>ROUND('geg ZO'!K171*VLOOKUP($F223,categorieMatVSO,5,FALSE),0)</f>
        <v>0</v>
      </c>
      <c r="K223" s="553">
        <f>ROUND('geg ZO'!L171*VLOOKUP($F223,categorieMatVSO,5,FALSE),0)</f>
        <v>0</v>
      </c>
      <c r="L223" s="553">
        <f>ROUND('geg ZO'!M171*VLOOKUP($F223,categorieMatVSO,5,FALSE),0)</f>
        <v>0</v>
      </c>
      <c r="M223" s="553">
        <f>ROUND('geg ZO'!N171*VLOOKUP($F223,categorieMatVSO,5,FALSE),0)</f>
        <v>0</v>
      </c>
      <c r="N223" s="553">
        <f>ROUND('geg ZO'!O171*VLOOKUP($F223,categorieMatVSO,5,FALSE),0)</f>
        <v>0</v>
      </c>
      <c r="O223" s="35"/>
      <c r="P223" s="25"/>
    </row>
    <row r="224" spans="2:33" x14ac:dyDescent="0.2">
      <c r="B224" s="21"/>
      <c r="C224" s="35"/>
      <c r="D224" s="191"/>
      <c r="E224" s="35"/>
      <c r="F224" s="191" t="str">
        <f t="shared" si="10"/>
        <v>categorie 2</v>
      </c>
      <c r="G224" s="71"/>
      <c r="H224" s="35"/>
      <c r="I224" s="553">
        <f>ROUND('geg ZO'!J172*VLOOKUP($F224,categorieMatVSO,5,FALSE),0)</f>
        <v>0</v>
      </c>
      <c r="J224" s="553">
        <f>ROUND('geg ZO'!K172*VLOOKUP($F224,categorieMatVSO,5,FALSE),0)</f>
        <v>0</v>
      </c>
      <c r="K224" s="553">
        <f>ROUND('geg ZO'!L172*VLOOKUP($F224,categorieMatVSO,5,FALSE),0)</f>
        <v>0</v>
      </c>
      <c r="L224" s="553">
        <f>ROUND('geg ZO'!M172*VLOOKUP($F224,categorieMatVSO,5,FALSE),0)</f>
        <v>0</v>
      </c>
      <c r="M224" s="553">
        <f>ROUND('geg ZO'!N172*VLOOKUP($F224,categorieMatVSO,5,FALSE),0)</f>
        <v>0</v>
      </c>
      <c r="N224" s="553">
        <f>ROUND('geg ZO'!O172*VLOOKUP($F224,categorieMatVSO,5,FALSE),0)</f>
        <v>0</v>
      </c>
      <c r="O224" s="35"/>
      <c r="P224" s="25"/>
    </row>
    <row r="225" spans="2:16" x14ac:dyDescent="0.2">
      <c r="B225" s="21"/>
      <c r="C225" s="35"/>
      <c r="D225" s="191"/>
      <c r="E225" s="35"/>
      <c r="F225" s="191" t="str">
        <f t="shared" si="10"/>
        <v>categorie 3</v>
      </c>
      <c r="G225" s="71"/>
      <c r="H225" s="35"/>
      <c r="I225" s="553">
        <f>ROUND('geg ZO'!J173*VLOOKUP($F225,categorieMatVSO,5,FALSE),0)</f>
        <v>0</v>
      </c>
      <c r="J225" s="553">
        <f>ROUND('geg ZO'!K173*VLOOKUP($F225,categorieMatVSO,5,FALSE),0)</f>
        <v>0</v>
      </c>
      <c r="K225" s="553">
        <f>ROUND('geg ZO'!L173*VLOOKUP($F225,categorieMatVSO,5,FALSE),0)</f>
        <v>0</v>
      </c>
      <c r="L225" s="553">
        <f>ROUND('geg ZO'!M173*VLOOKUP($F225,categorieMatVSO,5,FALSE),0)</f>
        <v>0</v>
      </c>
      <c r="M225" s="553">
        <f>ROUND('geg ZO'!N173*VLOOKUP($F225,categorieMatVSO,5,FALSE),0)</f>
        <v>0</v>
      </c>
      <c r="N225" s="553">
        <f>ROUND('geg ZO'!O173*VLOOKUP($F225,categorieMatVSO,5,FALSE),0)</f>
        <v>0</v>
      </c>
      <c r="O225" s="35"/>
      <c r="P225" s="25"/>
    </row>
    <row r="226" spans="2:16" x14ac:dyDescent="0.2">
      <c r="B226" s="21"/>
      <c r="C226" s="35"/>
      <c r="D226" s="603" t="str">
        <f>+D110</f>
        <v>School 23</v>
      </c>
      <c r="E226" s="35"/>
      <c r="F226" s="191" t="str">
        <f t="shared" si="10"/>
        <v>categorie 1</v>
      </c>
      <c r="G226" s="71"/>
      <c r="H226" s="35"/>
      <c r="I226" s="553">
        <f>ROUND('geg ZO'!J176*VLOOKUP($F226,categorieMatVSO,5,FALSE),0)</f>
        <v>0</v>
      </c>
      <c r="J226" s="553">
        <f>ROUND('geg ZO'!K176*VLOOKUP($F226,categorieMatVSO,5,FALSE),0)</f>
        <v>0</v>
      </c>
      <c r="K226" s="553">
        <f>ROUND('geg ZO'!L176*VLOOKUP($F226,categorieMatVSO,5,FALSE),0)</f>
        <v>0</v>
      </c>
      <c r="L226" s="553">
        <f>ROUND('geg ZO'!M176*VLOOKUP($F226,categorieMatVSO,5,FALSE),0)</f>
        <v>0</v>
      </c>
      <c r="M226" s="553">
        <f>ROUND('geg ZO'!N176*VLOOKUP($F226,categorieMatVSO,5,FALSE),0)</f>
        <v>0</v>
      </c>
      <c r="N226" s="553">
        <f>ROUND('geg ZO'!O176*VLOOKUP($F226,categorieMatVSO,5,FALSE),0)</f>
        <v>0</v>
      </c>
      <c r="O226" s="35"/>
      <c r="P226" s="25"/>
    </row>
    <row r="227" spans="2:16" x14ac:dyDescent="0.2">
      <c r="B227" s="21"/>
      <c r="C227" s="35"/>
      <c r="D227" s="191"/>
      <c r="E227" s="35"/>
      <c r="F227" s="191" t="str">
        <f t="shared" si="10"/>
        <v>categorie 2</v>
      </c>
      <c r="G227" s="71"/>
      <c r="H227" s="35"/>
      <c r="I227" s="553">
        <f>ROUND('geg ZO'!J177*VLOOKUP($F227,categorieMatVSO,5,FALSE),0)</f>
        <v>0</v>
      </c>
      <c r="J227" s="553">
        <f>ROUND('geg ZO'!K177*VLOOKUP($F227,categorieMatVSO,5,FALSE),0)</f>
        <v>0</v>
      </c>
      <c r="K227" s="553">
        <f>ROUND('geg ZO'!L177*VLOOKUP($F227,categorieMatVSO,5,FALSE),0)</f>
        <v>0</v>
      </c>
      <c r="L227" s="553">
        <f>ROUND('geg ZO'!M177*VLOOKUP($F227,categorieMatVSO,5,FALSE),0)</f>
        <v>0</v>
      </c>
      <c r="M227" s="553">
        <f>ROUND('geg ZO'!N177*VLOOKUP($F227,categorieMatVSO,5,FALSE),0)</f>
        <v>0</v>
      </c>
      <c r="N227" s="553">
        <f>ROUND('geg ZO'!O177*VLOOKUP($F227,categorieMatVSO,5,FALSE),0)</f>
        <v>0</v>
      </c>
      <c r="O227" s="35"/>
      <c r="P227" s="25"/>
    </row>
    <row r="228" spans="2:16" x14ac:dyDescent="0.2">
      <c r="B228" s="21"/>
      <c r="C228" s="35"/>
      <c r="D228" s="191"/>
      <c r="E228" s="35"/>
      <c r="F228" s="191" t="str">
        <f t="shared" si="10"/>
        <v>categorie 3</v>
      </c>
      <c r="G228" s="71"/>
      <c r="H228" s="35"/>
      <c r="I228" s="553">
        <f>ROUND('geg ZO'!J178*VLOOKUP($F228,categorieMatVSO,5,FALSE),0)</f>
        <v>0</v>
      </c>
      <c r="J228" s="553">
        <f>ROUND('geg ZO'!K178*VLOOKUP($F228,categorieMatVSO,5,FALSE),0)</f>
        <v>0</v>
      </c>
      <c r="K228" s="553">
        <f>ROUND('geg ZO'!L178*VLOOKUP($F228,categorieMatVSO,5,FALSE),0)</f>
        <v>0</v>
      </c>
      <c r="L228" s="553">
        <f>ROUND('geg ZO'!M178*VLOOKUP($F228,categorieMatVSO,5,FALSE),0)</f>
        <v>0</v>
      </c>
      <c r="M228" s="553">
        <f>ROUND('geg ZO'!N178*VLOOKUP($F228,categorieMatVSO,5,FALSE),0)</f>
        <v>0</v>
      </c>
      <c r="N228" s="553">
        <f>ROUND('geg ZO'!O178*VLOOKUP($F228,categorieMatVSO,5,FALSE),0)</f>
        <v>0</v>
      </c>
      <c r="O228" s="35"/>
      <c r="P228" s="25"/>
    </row>
    <row r="229" spans="2:16" x14ac:dyDescent="0.2">
      <c r="B229" s="21"/>
      <c r="C229" s="35"/>
      <c r="D229" s="603" t="str">
        <f>+D113</f>
        <v>School 24</v>
      </c>
      <c r="E229" s="35"/>
      <c r="F229" s="191" t="str">
        <f t="shared" si="10"/>
        <v>categorie 1</v>
      </c>
      <c r="G229" s="71"/>
      <c r="H229" s="35"/>
      <c r="I229" s="553">
        <f>ROUND('geg ZO'!J181*VLOOKUP($F229,categorieMatVSO,5,FALSE),0)</f>
        <v>0</v>
      </c>
      <c r="J229" s="553">
        <f>ROUND('geg ZO'!K181*VLOOKUP($F229,categorieMatVSO,5,FALSE),0)</f>
        <v>0</v>
      </c>
      <c r="K229" s="553">
        <f>ROUND('geg ZO'!L181*VLOOKUP($F229,categorieMatVSO,5,FALSE),0)</f>
        <v>0</v>
      </c>
      <c r="L229" s="553">
        <f>ROUND('geg ZO'!M181*VLOOKUP($F229,categorieMatVSO,5,FALSE),0)</f>
        <v>0</v>
      </c>
      <c r="M229" s="553">
        <f>ROUND('geg ZO'!N181*VLOOKUP($F229,categorieMatVSO,5,FALSE),0)</f>
        <v>0</v>
      </c>
      <c r="N229" s="553">
        <f>ROUND('geg ZO'!O181*VLOOKUP($F229,categorieMatVSO,5,FALSE),0)</f>
        <v>0</v>
      </c>
      <c r="O229" s="35"/>
      <c r="P229" s="25"/>
    </row>
    <row r="230" spans="2:16" x14ac:dyDescent="0.2">
      <c r="B230" s="21"/>
      <c r="C230" s="35"/>
      <c r="D230" s="191"/>
      <c r="E230" s="35"/>
      <c r="F230" s="191" t="str">
        <f t="shared" si="10"/>
        <v>categorie 2</v>
      </c>
      <c r="G230" s="71"/>
      <c r="H230" s="35"/>
      <c r="I230" s="553">
        <f>ROUND('geg ZO'!J182*VLOOKUP($F230,categorieMatVSO,5,FALSE),0)</f>
        <v>0</v>
      </c>
      <c r="J230" s="553">
        <f>ROUND('geg ZO'!K182*VLOOKUP($F230,categorieMatVSO,5,FALSE),0)</f>
        <v>0</v>
      </c>
      <c r="K230" s="553">
        <f>ROUND('geg ZO'!L182*VLOOKUP($F230,categorieMatVSO,5,FALSE),0)</f>
        <v>0</v>
      </c>
      <c r="L230" s="553">
        <f>ROUND('geg ZO'!M182*VLOOKUP($F230,categorieMatVSO,5,FALSE),0)</f>
        <v>0</v>
      </c>
      <c r="M230" s="553">
        <f>ROUND('geg ZO'!N182*VLOOKUP($F230,categorieMatVSO,5,FALSE),0)</f>
        <v>0</v>
      </c>
      <c r="N230" s="553">
        <f>ROUND('geg ZO'!O182*VLOOKUP($F230,categorieMatVSO,5,FALSE),0)</f>
        <v>0</v>
      </c>
      <c r="O230" s="35"/>
      <c r="P230" s="25"/>
    </row>
    <row r="231" spans="2:16" x14ac:dyDescent="0.2">
      <c r="B231" s="21"/>
      <c r="C231" s="35"/>
      <c r="D231" s="191"/>
      <c r="E231" s="35"/>
      <c r="F231" s="191" t="str">
        <f t="shared" si="10"/>
        <v>categorie 3</v>
      </c>
      <c r="G231" s="71"/>
      <c r="H231" s="35"/>
      <c r="I231" s="553">
        <f>ROUND('geg ZO'!J183*VLOOKUP($F231,categorieMatVSO,5,FALSE),0)</f>
        <v>0</v>
      </c>
      <c r="J231" s="553">
        <f>ROUND('geg ZO'!K183*VLOOKUP($F231,categorieMatVSO,5,FALSE),0)</f>
        <v>0</v>
      </c>
      <c r="K231" s="553">
        <f>ROUND('geg ZO'!L183*VLOOKUP($F231,categorieMatVSO,5,FALSE),0)</f>
        <v>0</v>
      </c>
      <c r="L231" s="553">
        <f>ROUND('geg ZO'!M183*VLOOKUP($F231,categorieMatVSO,5,FALSE),0)</f>
        <v>0</v>
      </c>
      <c r="M231" s="553">
        <f>ROUND('geg ZO'!N183*VLOOKUP($F231,categorieMatVSO,5,FALSE),0)</f>
        <v>0</v>
      </c>
      <c r="N231" s="553">
        <f>ROUND('geg ZO'!O183*VLOOKUP($F231,categorieMatVSO,5,FALSE),0)</f>
        <v>0</v>
      </c>
      <c r="O231" s="35"/>
      <c r="P231" s="25"/>
    </row>
    <row r="232" spans="2:16" x14ac:dyDescent="0.2">
      <c r="B232" s="21"/>
      <c r="C232" s="35"/>
      <c r="D232" s="603" t="str">
        <f>+D116</f>
        <v>School 25</v>
      </c>
      <c r="E232" s="35"/>
      <c r="F232" s="191" t="str">
        <f t="shared" si="10"/>
        <v>categorie 1</v>
      </c>
      <c r="G232" s="71"/>
      <c r="H232" s="35"/>
      <c r="I232" s="553">
        <f>ROUND('geg ZO'!J186*VLOOKUP($F232,categorieMatVSO,5,FALSE),0)</f>
        <v>0</v>
      </c>
      <c r="J232" s="553">
        <f>ROUND('geg ZO'!K186*VLOOKUP($F232,categorieMatVSO,5,FALSE),0)</f>
        <v>0</v>
      </c>
      <c r="K232" s="553">
        <f>ROUND('geg ZO'!L186*VLOOKUP($F232,categorieMatVSO,5,FALSE),0)</f>
        <v>0</v>
      </c>
      <c r="L232" s="553">
        <f>ROUND('geg ZO'!M186*VLOOKUP($F232,categorieMatVSO,5,FALSE),0)</f>
        <v>0</v>
      </c>
      <c r="M232" s="553">
        <f>ROUND('geg ZO'!N186*VLOOKUP($F232,categorieMatVSO,5,FALSE),0)</f>
        <v>0</v>
      </c>
      <c r="N232" s="553">
        <f>ROUND('geg ZO'!O186*VLOOKUP($F232,categorieMatVSO,5,FALSE),0)</f>
        <v>0</v>
      </c>
      <c r="O232" s="35"/>
      <c r="P232" s="25"/>
    </row>
    <row r="233" spans="2:16" x14ac:dyDescent="0.2">
      <c r="B233" s="21"/>
      <c r="C233" s="35"/>
      <c r="D233" s="191"/>
      <c r="E233" s="35"/>
      <c r="F233" s="191" t="str">
        <f t="shared" si="10"/>
        <v>categorie 2</v>
      </c>
      <c r="G233" s="71"/>
      <c r="H233" s="35"/>
      <c r="I233" s="553">
        <f>ROUND('geg ZO'!J187*VLOOKUP($F233,categorieMatVSO,5,FALSE),0)</f>
        <v>0</v>
      </c>
      <c r="J233" s="553">
        <f>ROUND('geg ZO'!K187*VLOOKUP($F233,categorieMatVSO,5,FALSE),0)</f>
        <v>0</v>
      </c>
      <c r="K233" s="553">
        <f>ROUND('geg ZO'!L187*VLOOKUP($F233,categorieMatVSO,5,FALSE),0)</f>
        <v>0</v>
      </c>
      <c r="L233" s="553">
        <f>ROUND('geg ZO'!M187*VLOOKUP($F233,categorieMatVSO,5,FALSE),0)</f>
        <v>0</v>
      </c>
      <c r="M233" s="553">
        <f>ROUND('geg ZO'!N187*VLOOKUP($F233,categorieMatVSO,5,FALSE),0)</f>
        <v>0</v>
      </c>
      <c r="N233" s="553">
        <f>ROUND('geg ZO'!O187*VLOOKUP($F233,categorieMatVSO,5,FALSE),0)</f>
        <v>0</v>
      </c>
      <c r="O233" s="35"/>
      <c r="P233" s="25"/>
    </row>
    <row r="234" spans="2:16" x14ac:dyDescent="0.2">
      <c r="B234" s="21"/>
      <c r="C234" s="35"/>
      <c r="D234" s="191"/>
      <c r="E234" s="35"/>
      <c r="F234" s="191" t="str">
        <f t="shared" si="10"/>
        <v>categorie 3</v>
      </c>
      <c r="G234" s="71"/>
      <c r="H234" s="35"/>
      <c r="I234" s="553">
        <f>ROUND('geg ZO'!J188*VLOOKUP($F234,categorieMatVSO,5,FALSE),0)</f>
        <v>0</v>
      </c>
      <c r="J234" s="553">
        <f>ROUND('geg ZO'!K188*VLOOKUP($F234,categorieMatVSO,5,FALSE),0)</f>
        <v>0</v>
      </c>
      <c r="K234" s="553">
        <f>ROUND('geg ZO'!L188*VLOOKUP($F234,categorieMatVSO,5,FALSE),0)</f>
        <v>0</v>
      </c>
      <c r="L234" s="553">
        <f>ROUND('geg ZO'!M188*VLOOKUP($F234,categorieMatVSO,5,FALSE),0)</f>
        <v>0</v>
      </c>
      <c r="M234" s="553">
        <f>ROUND('geg ZO'!N188*VLOOKUP($F234,categorieMatVSO,5,FALSE),0)</f>
        <v>0</v>
      </c>
      <c r="N234" s="553">
        <f>ROUND('geg ZO'!O188*VLOOKUP($F234,categorieMatVSO,5,FALSE),0)</f>
        <v>0</v>
      </c>
      <c r="O234" s="35"/>
      <c r="P234" s="25"/>
    </row>
    <row r="235" spans="2:16" x14ac:dyDescent="0.2">
      <c r="B235" s="21"/>
      <c r="C235" s="35"/>
      <c r="D235" s="603" t="str">
        <f>+D119</f>
        <v>School 26</v>
      </c>
      <c r="E235" s="35"/>
      <c r="F235" s="191" t="str">
        <f t="shared" si="10"/>
        <v>categorie 1</v>
      </c>
      <c r="G235" s="71"/>
      <c r="H235" s="35"/>
      <c r="I235" s="553">
        <f>ROUND('geg ZO'!J191*VLOOKUP($F235,categorieMatVSO,5,FALSE),0)</f>
        <v>0</v>
      </c>
      <c r="J235" s="553">
        <f>ROUND('geg ZO'!K191*VLOOKUP($F235,categorieMatVSO,5,FALSE),0)</f>
        <v>0</v>
      </c>
      <c r="K235" s="553">
        <f>ROUND('geg ZO'!L191*VLOOKUP($F235,categorieMatVSO,5,FALSE),0)</f>
        <v>0</v>
      </c>
      <c r="L235" s="553">
        <f>ROUND('geg ZO'!M191*VLOOKUP($F235,categorieMatVSO,5,FALSE),0)</f>
        <v>0</v>
      </c>
      <c r="M235" s="553">
        <f>ROUND('geg ZO'!N191*VLOOKUP($F235,categorieMatVSO,5,FALSE),0)</f>
        <v>0</v>
      </c>
      <c r="N235" s="553">
        <f>ROUND('geg ZO'!O191*VLOOKUP($F235,categorieMatVSO,5,FALSE),0)</f>
        <v>0</v>
      </c>
      <c r="O235" s="35"/>
      <c r="P235" s="25"/>
    </row>
    <row r="236" spans="2:16" x14ac:dyDescent="0.2">
      <c r="B236" s="21"/>
      <c r="C236" s="35"/>
      <c r="D236" s="191"/>
      <c r="E236" s="35"/>
      <c r="F236" s="191" t="str">
        <f t="shared" si="10"/>
        <v>categorie 2</v>
      </c>
      <c r="G236" s="71"/>
      <c r="H236" s="35"/>
      <c r="I236" s="553">
        <f>ROUND('geg ZO'!J192*VLOOKUP($F236,categorieMatVSO,5,FALSE),0)</f>
        <v>0</v>
      </c>
      <c r="J236" s="553">
        <f>ROUND('geg ZO'!K192*VLOOKUP($F236,categorieMatVSO,5,FALSE),0)</f>
        <v>0</v>
      </c>
      <c r="K236" s="553">
        <f>ROUND('geg ZO'!L192*VLOOKUP($F236,categorieMatVSO,5,FALSE),0)</f>
        <v>0</v>
      </c>
      <c r="L236" s="553">
        <f>ROUND('geg ZO'!M192*VLOOKUP($F236,categorieMatVSO,5,FALSE),0)</f>
        <v>0</v>
      </c>
      <c r="M236" s="553">
        <f>ROUND('geg ZO'!N192*VLOOKUP($F236,categorieMatVSO,5,FALSE),0)</f>
        <v>0</v>
      </c>
      <c r="N236" s="553">
        <f>ROUND('geg ZO'!O192*VLOOKUP($F236,categorieMatVSO,5,FALSE),0)</f>
        <v>0</v>
      </c>
      <c r="O236" s="35"/>
      <c r="P236" s="25"/>
    </row>
    <row r="237" spans="2:16" x14ac:dyDescent="0.2">
      <c r="B237" s="21"/>
      <c r="C237" s="35"/>
      <c r="D237" s="191"/>
      <c r="E237" s="35"/>
      <c r="F237" s="191" t="str">
        <f t="shared" si="10"/>
        <v>categorie 3</v>
      </c>
      <c r="G237" s="71"/>
      <c r="H237" s="35"/>
      <c r="I237" s="553">
        <f>ROUND('geg ZO'!J193*VLOOKUP($F237,categorieMatVSO,5,FALSE),0)</f>
        <v>0</v>
      </c>
      <c r="J237" s="553">
        <f>ROUND('geg ZO'!K193*VLOOKUP($F237,categorieMatVSO,5,FALSE),0)</f>
        <v>0</v>
      </c>
      <c r="K237" s="553">
        <f>ROUND('geg ZO'!L193*VLOOKUP($F237,categorieMatVSO,5,FALSE),0)</f>
        <v>0</v>
      </c>
      <c r="L237" s="553">
        <f>ROUND('geg ZO'!M193*VLOOKUP($F237,categorieMatVSO,5,FALSE),0)</f>
        <v>0</v>
      </c>
      <c r="M237" s="553">
        <f>ROUND('geg ZO'!N193*VLOOKUP($F237,categorieMatVSO,5,FALSE),0)</f>
        <v>0</v>
      </c>
      <c r="N237" s="553">
        <f>ROUND('geg ZO'!O193*VLOOKUP($F237,categorieMatVSO,5,FALSE),0)</f>
        <v>0</v>
      </c>
      <c r="O237" s="35"/>
      <c r="P237" s="25"/>
    </row>
    <row r="238" spans="2:16" x14ac:dyDescent="0.2">
      <c r="B238" s="21"/>
      <c r="C238" s="35"/>
      <c r="D238" s="603" t="str">
        <f>+D122</f>
        <v>School 27</v>
      </c>
      <c r="E238" s="35"/>
      <c r="F238" s="191" t="str">
        <f t="shared" si="10"/>
        <v>categorie 1</v>
      </c>
      <c r="G238" s="71"/>
      <c r="H238" s="35"/>
      <c r="I238" s="553">
        <f>ROUND('geg ZO'!J196*VLOOKUP($F238,categorieMatVSO,5,FALSE),0)</f>
        <v>0</v>
      </c>
      <c r="J238" s="553">
        <f>ROUND('geg ZO'!K196*VLOOKUP($F238,categorieMatVSO,5,FALSE),0)</f>
        <v>0</v>
      </c>
      <c r="K238" s="553">
        <f>ROUND('geg ZO'!L196*VLOOKUP($F238,categorieMatVSO,5,FALSE),0)</f>
        <v>0</v>
      </c>
      <c r="L238" s="553">
        <f>ROUND('geg ZO'!M196*VLOOKUP($F238,categorieMatVSO,5,FALSE),0)</f>
        <v>0</v>
      </c>
      <c r="M238" s="553">
        <f>ROUND('geg ZO'!N196*VLOOKUP($F238,categorieMatVSO,5,FALSE),0)</f>
        <v>0</v>
      </c>
      <c r="N238" s="553">
        <f>ROUND('geg ZO'!O196*VLOOKUP($F238,categorieMatVSO,5,FALSE),0)</f>
        <v>0</v>
      </c>
      <c r="O238" s="35"/>
      <c r="P238" s="25"/>
    </row>
    <row r="239" spans="2:16" x14ac:dyDescent="0.2">
      <c r="B239" s="21"/>
      <c r="C239" s="35"/>
      <c r="D239" s="191"/>
      <c r="E239" s="35"/>
      <c r="F239" s="191" t="str">
        <f t="shared" si="10"/>
        <v>categorie 2</v>
      </c>
      <c r="G239" s="71"/>
      <c r="H239" s="35"/>
      <c r="I239" s="553">
        <f>ROUND('geg ZO'!J197*VLOOKUP($F239,categorieMatVSO,5,FALSE),0)</f>
        <v>0</v>
      </c>
      <c r="J239" s="553">
        <f>ROUND('geg ZO'!K197*VLOOKUP($F239,categorieMatVSO,5,FALSE),0)</f>
        <v>0</v>
      </c>
      <c r="K239" s="553">
        <f>ROUND('geg ZO'!L197*VLOOKUP($F239,categorieMatVSO,5,FALSE),0)</f>
        <v>0</v>
      </c>
      <c r="L239" s="553">
        <f>ROUND('geg ZO'!M197*VLOOKUP($F239,categorieMatVSO,5,FALSE),0)</f>
        <v>0</v>
      </c>
      <c r="M239" s="553">
        <f>ROUND('geg ZO'!N197*VLOOKUP($F239,categorieMatVSO,5,FALSE),0)</f>
        <v>0</v>
      </c>
      <c r="N239" s="553">
        <f>ROUND('geg ZO'!O197*VLOOKUP($F239,categorieMatVSO,5,FALSE),0)</f>
        <v>0</v>
      </c>
      <c r="O239" s="35"/>
      <c r="P239" s="25"/>
    </row>
    <row r="240" spans="2:16" x14ac:dyDescent="0.2">
      <c r="B240" s="21"/>
      <c r="C240" s="35"/>
      <c r="D240" s="191"/>
      <c r="E240" s="35"/>
      <c r="F240" s="191" t="str">
        <f t="shared" si="10"/>
        <v>categorie 3</v>
      </c>
      <c r="G240" s="71"/>
      <c r="H240" s="35"/>
      <c r="I240" s="553">
        <f>ROUND('geg ZO'!J198*VLOOKUP($F240,categorieMatVSO,5,FALSE),0)</f>
        <v>0</v>
      </c>
      <c r="J240" s="553">
        <f>ROUND('geg ZO'!K198*VLOOKUP($F240,categorieMatVSO,5,FALSE),0)</f>
        <v>0</v>
      </c>
      <c r="K240" s="553">
        <f>ROUND('geg ZO'!L198*VLOOKUP($F240,categorieMatVSO,5,FALSE),0)</f>
        <v>0</v>
      </c>
      <c r="L240" s="553">
        <f>ROUND('geg ZO'!M198*VLOOKUP($F240,categorieMatVSO,5,FALSE),0)</f>
        <v>0</v>
      </c>
      <c r="M240" s="553">
        <f>ROUND('geg ZO'!N198*VLOOKUP($F240,categorieMatVSO,5,FALSE),0)</f>
        <v>0</v>
      </c>
      <c r="N240" s="553">
        <f>ROUND('geg ZO'!O198*VLOOKUP($F240,categorieMatVSO,5,FALSE),0)</f>
        <v>0</v>
      </c>
      <c r="O240" s="35"/>
      <c r="P240" s="25"/>
    </row>
    <row r="241" spans="2:16" x14ac:dyDescent="0.2">
      <c r="B241" s="21"/>
      <c r="C241" s="35"/>
      <c r="D241" s="603" t="str">
        <f>+D125</f>
        <v>School 28</v>
      </c>
      <c r="E241" s="35"/>
      <c r="F241" s="191" t="str">
        <f t="shared" si="10"/>
        <v>categorie 1</v>
      </c>
      <c r="G241" s="71"/>
      <c r="H241" s="35"/>
      <c r="I241" s="553">
        <f>ROUND('geg ZO'!J201*VLOOKUP($F241,categorieMatVSO,5,FALSE),0)</f>
        <v>0</v>
      </c>
      <c r="J241" s="553">
        <f>ROUND('geg ZO'!K201*VLOOKUP($F241,categorieMatVSO,5,FALSE),0)</f>
        <v>0</v>
      </c>
      <c r="K241" s="553">
        <f>ROUND('geg ZO'!L201*VLOOKUP($F241,categorieMatVSO,5,FALSE),0)</f>
        <v>0</v>
      </c>
      <c r="L241" s="553">
        <f>ROUND('geg ZO'!M201*VLOOKUP($F241,categorieMatVSO,5,FALSE),0)</f>
        <v>0</v>
      </c>
      <c r="M241" s="553">
        <f>ROUND('geg ZO'!N201*VLOOKUP($F241,categorieMatVSO,5,FALSE),0)</f>
        <v>0</v>
      </c>
      <c r="N241" s="553">
        <f>ROUND('geg ZO'!O201*VLOOKUP($F241,categorieMatVSO,5,FALSE),0)</f>
        <v>0</v>
      </c>
      <c r="O241" s="35"/>
      <c r="P241" s="25"/>
    </row>
    <row r="242" spans="2:16" x14ac:dyDescent="0.2">
      <c r="B242" s="21"/>
      <c r="C242" s="35"/>
      <c r="D242" s="191"/>
      <c r="E242" s="35"/>
      <c r="F242" s="191" t="str">
        <f t="shared" si="10"/>
        <v>categorie 2</v>
      </c>
      <c r="G242" s="71"/>
      <c r="H242" s="35"/>
      <c r="I242" s="553">
        <f>ROUND('geg ZO'!J202*VLOOKUP($F242,categorieMatVSO,5,FALSE),0)</f>
        <v>0</v>
      </c>
      <c r="J242" s="553">
        <f>ROUND('geg ZO'!K202*VLOOKUP($F242,categorieMatVSO,5,FALSE),0)</f>
        <v>0</v>
      </c>
      <c r="K242" s="553">
        <f>ROUND('geg ZO'!L202*VLOOKUP($F242,categorieMatVSO,5,FALSE),0)</f>
        <v>0</v>
      </c>
      <c r="L242" s="553">
        <f>ROUND('geg ZO'!M202*VLOOKUP($F242,categorieMatVSO,5,FALSE),0)</f>
        <v>0</v>
      </c>
      <c r="M242" s="553">
        <f>ROUND('geg ZO'!N202*VLOOKUP($F242,categorieMatVSO,5,FALSE),0)</f>
        <v>0</v>
      </c>
      <c r="N242" s="553">
        <f>ROUND('geg ZO'!O202*VLOOKUP($F242,categorieMatVSO,5,FALSE),0)</f>
        <v>0</v>
      </c>
      <c r="O242" s="35"/>
      <c r="P242" s="25"/>
    </row>
    <row r="243" spans="2:16" x14ac:dyDescent="0.2">
      <c r="B243" s="21"/>
      <c r="C243" s="35"/>
      <c r="D243" s="191"/>
      <c r="E243" s="35"/>
      <c r="F243" s="191" t="str">
        <f t="shared" si="10"/>
        <v>categorie 3</v>
      </c>
      <c r="G243" s="71"/>
      <c r="H243" s="35"/>
      <c r="I243" s="553">
        <f>ROUND('geg ZO'!J203*VLOOKUP($F243,categorieMatVSO,5,FALSE),0)</f>
        <v>0</v>
      </c>
      <c r="J243" s="553">
        <f>ROUND('geg ZO'!K203*VLOOKUP($F243,categorieMatVSO,5,FALSE),0)</f>
        <v>0</v>
      </c>
      <c r="K243" s="553">
        <f>ROUND('geg ZO'!L203*VLOOKUP($F243,categorieMatVSO,5,FALSE),0)</f>
        <v>0</v>
      </c>
      <c r="L243" s="553">
        <f>ROUND('geg ZO'!M203*VLOOKUP($F243,categorieMatVSO,5,FALSE),0)</f>
        <v>0</v>
      </c>
      <c r="M243" s="553">
        <f>ROUND('geg ZO'!N203*VLOOKUP($F243,categorieMatVSO,5,FALSE),0)</f>
        <v>0</v>
      </c>
      <c r="N243" s="553">
        <f>ROUND('geg ZO'!O203*VLOOKUP($F243,categorieMatVSO,5,FALSE),0)</f>
        <v>0</v>
      </c>
      <c r="O243" s="35"/>
      <c r="P243" s="25"/>
    </row>
    <row r="244" spans="2:16" x14ac:dyDescent="0.2">
      <c r="B244" s="21"/>
      <c r="C244" s="35"/>
      <c r="D244" s="603" t="str">
        <f>+D128</f>
        <v>School 29</v>
      </c>
      <c r="E244" s="35"/>
      <c r="F244" s="191" t="str">
        <f t="shared" si="10"/>
        <v>categorie 1</v>
      </c>
      <c r="G244" s="71"/>
      <c r="H244" s="35"/>
      <c r="I244" s="553">
        <f>ROUND('geg ZO'!J206*VLOOKUP($F244,categorieMatVSO,5,FALSE),0)</f>
        <v>0</v>
      </c>
      <c r="J244" s="553">
        <f>ROUND('geg ZO'!K206*VLOOKUP($F244,categorieMatVSO,5,FALSE),0)</f>
        <v>0</v>
      </c>
      <c r="K244" s="553">
        <f>ROUND('geg ZO'!L206*VLOOKUP($F244,categorieMatVSO,5,FALSE),0)</f>
        <v>0</v>
      </c>
      <c r="L244" s="553">
        <f>ROUND('geg ZO'!M206*VLOOKUP($F244,categorieMatVSO,5,FALSE),0)</f>
        <v>0</v>
      </c>
      <c r="M244" s="553">
        <f>ROUND('geg ZO'!N206*VLOOKUP($F244,categorieMatVSO,5,FALSE),0)</f>
        <v>0</v>
      </c>
      <c r="N244" s="553">
        <f>ROUND('geg ZO'!O206*VLOOKUP($F244,categorieMatVSO,5,FALSE),0)</f>
        <v>0</v>
      </c>
      <c r="O244" s="35"/>
      <c r="P244" s="25"/>
    </row>
    <row r="245" spans="2:16" x14ac:dyDescent="0.2">
      <c r="B245" s="21"/>
      <c r="C245" s="35"/>
      <c r="D245" s="191"/>
      <c r="E245" s="35"/>
      <c r="F245" s="191" t="str">
        <f t="shared" si="10"/>
        <v>categorie 2</v>
      </c>
      <c r="G245" s="71"/>
      <c r="H245" s="35"/>
      <c r="I245" s="553">
        <f>ROUND('geg ZO'!J207*VLOOKUP($F245,categorieMatVSO,5,FALSE),0)</f>
        <v>0</v>
      </c>
      <c r="J245" s="553">
        <f>ROUND('geg ZO'!K207*VLOOKUP($F245,categorieMatVSO,5,FALSE),0)</f>
        <v>0</v>
      </c>
      <c r="K245" s="553">
        <f>ROUND('geg ZO'!L207*VLOOKUP($F245,categorieMatVSO,5,FALSE),0)</f>
        <v>0</v>
      </c>
      <c r="L245" s="553">
        <f>ROUND('geg ZO'!M207*VLOOKUP($F245,categorieMatVSO,5,FALSE),0)</f>
        <v>0</v>
      </c>
      <c r="M245" s="553">
        <f>ROUND('geg ZO'!N207*VLOOKUP($F245,categorieMatVSO,5,FALSE),0)</f>
        <v>0</v>
      </c>
      <c r="N245" s="553">
        <f>ROUND('geg ZO'!O207*VLOOKUP($F245,categorieMatVSO,5,FALSE),0)</f>
        <v>0</v>
      </c>
      <c r="O245" s="35"/>
      <c r="P245" s="25"/>
    </row>
    <row r="246" spans="2:16" x14ac:dyDescent="0.2">
      <c r="B246" s="21"/>
      <c r="C246" s="35"/>
      <c r="D246" s="191"/>
      <c r="E246" s="35"/>
      <c r="F246" s="191" t="str">
        <f t="shared" si="10"/>
        <v>categorie 3</v>
      </c>
      <c r="G246" s="71"/>
      <c r="H246" s="35"/>
      <c r="I246" s="553">
        <f>ROUND('geg ZO'!J208*VLOOKUP($F246,categorieMatVSO,5,FALSE),0)</f>
        <v>0</v>
      </c>
      <c r="J246" s="553">
        <f>ROUND('geg ZO'!K208*VLOOKUP($F246,categorieMatVSO,5,FALSE),0)</f>
        <v>0</v>
      </c>
      <c r="K246" s="553">
        <f>ROUND('geg ZO'!L208*VLOOKUP($F246,categorieMatVSO,5,FALSE),0)</f>
        <v>0</v>
      </c>
      <c r="L246" s="553">
        <f>ROUND('geg ZO'!M208*VLOOKUP($F246,categorieMatVSO,5,FALSE),0)</f>
        <v>0</v>
      </c>
      <c r="M246" s="553">
        <f>ROUND('geg ZO'!N208*VLOOKUP($F246,categorieMatVSO,5,FALSE),0)</f>
        <v>0</v>
      </c>
      <c r="N246" s="553">
        <f>ROUND('geg ZO'!O208*VLOOKUP($F246,categorieMatVSO,5,FALSE),0)</f>
        <v>0</v>
      </c>
      <c r="O246" s="35"/>
      <c r="P246" s="25"/>
    </row>
    <row r="247" spans="2:16" x14ac:dyDescent="0.2">
      <c r="B247" s="21"/>
      <c r="C247" s="35"/>
      <c r="D247" s="603" t="str">
        <f>+D131</f>
        <v>School 30</v>
      </c>
      <c r="E247" s="35"/>
      <c r="F247" s="191" t="str">
        <f t="shared" ref="F247:F264" si="11">+F131</f>
        <v>categorie 1</v>
      </c>
      <c r="G247" s="71"/>
      <c r="H247" s="35"/>
      <c r="I247" s="553">
        <f>ROUND('geg ZO'!J211*VLOOKUP($F247,categorieMatVSO,5,FALSE),0)</f>
        <v>0</v>
      </c>
      <c r="J247" s="553">
        <f>ROUND('geg ZO'!K211*VLOOKUP($F247,categorieMatVSO,5,FALSE),0)</f>
        <v>0</v>
      </c>
      <c r="K247" s="553">
        <f>ROUND('geg ZO'!L211*VLOOKUP($F247,categorieMatVSO,5,FALSE),0)</f>
        <v>0</v>
      </c>
      <c r="L247" s="553">
        <f>ROUND('geg ZO'!M211*VLOOKUP($F247,categorieMatVSO,5,FALSE),0)</f>
        <v>0</v>
      </c>
      <c r="M247" s="553">
        <f>ROUND('geg ZO'!N211*VLOOKUP($F247,categorieMatVSO,5,FALSE),0)</f>
        <v>0</v>
      </c>
      <c r="N247" s="553">
        <f>ROUND('geg ZO'!O211*VLOOKUP($F247,categorieMatVSO,5,FALSE),0)</f>
        <v>0</v>
      </c>
      <c r="O247" s="35"/>
      <c r="P247" s="25"/>
    </row>
    <row r="248" spans="2:16" x14ac:dyDescent="0.2">
      <c r="B248" s="21"/>
      <c r="C248" s="35"/>
      <c r="D248" s="38"/>
      <c r="E248" s="35"/>
      <c r="F248" s="191" t="str">
        <f t="shared" si="11"/>
        <v>categorie 2</v>
      </c>
      <c r="G248" s="71"/>
      <c r="H248" s="35"/>
      <c r="I248" s="553">
        <f>ROUND('geg ZO'!J212*VLOOKUP($F248,categorieMatVSO,5,FALSE),0)</f>
        <v>0</v>
      </c>
      <c r="J248" s="553">
        <f>ROUND('geg ZO'!K212*VLOOKUP($F248,categorieMatVSO,5,FALSE),0)</f>
        <v>0</v>
      </c>
      <c r="K248" s="553">
        <f>ROUND('geg ZO'!L212*VLOOKUP($F248,categorieMatVSO,5,FALSE),0)</f>
        <v>0</v>
      </c>
      <c r="L248" s="553">
        <f>ROUND('geg ZO'!M212*VLOOKUP($F248,categorieMatVSO,5,FALSE),0)</f>
        <v>0</v>
      </c>
      <c r="M248" s="553">
        <f>ROUND('geg ZO'!N212*VLOOKUP($F248,categorieMatVSO,5,FALSE),0)</f>
        <v>0</v>
      </c>
      <c r="N248" s="553">
        <f>ROUND('geg ZO'!O212*VLOOKUP($F248,categorieMatVSO,5,FALSE),0)</f>
        <v>0</v>
      </c>
      <c r="O248" s="35"/>
      <c r="P248" s="25"/>
    </row>
    <row r="249" spans="2:16" x14ac:dyDescent="0.2">
      <c r="B249" s="21"/>
      <c r="C249" s="35"/>
      <c r="D249" s="38"/>
      <c r="E249" s="35"/>
      <c r="F249" s="191" t="str">
        <f t="shared" si="11"/>
        <v>categorie 3</v>
      </c>
      <c r="G249" s="71"/>
      <c r="H249" s="35"/>
      <c r="I249" s="553">
        <f>ROUND('geg ZO'!J213*VLOOKUP($F249,categorieMatVSO,5,FALSE),0)</f>
        <v>0</v>
      </c>
      <c r="J249" s="553">
        <f>ROUND('geg ZO'!K213*VLOOKUP($F249,categorieMatVSO,5,FALSE),0)</f>
        <v>0</v>
      </c>
      <c r="K249" s="553">
        <f>ROUND('geg ZO'!L213*VLOOKUP($F249,categorieMatVSO,5,FALSE),0)</f>
        <v>0</v>
      </c>
      <c r="L249" s="553">
        <f>ROUND('geg ZO'!M213*VLOOKUP($F249,categorieMatVSO,5,FALSE),0)</f>
        <v>0</v>
      </c>
      <c r="M249" s="553">
        <f>ROUND('geg ZO'!N213*VLOOKUP($F249,categorieMatVSO,5,FALSE),0)</f>
        <v>0</v>
      </c>
      <c r="N249" s="553">
        <f>ROUND('geg ZO'!O213*VLOOKUP($F249,categorieMatVSO,5,FALSE),0)</f>
        <v>0</v>
      </c>
      <c r="O249" s="35"/>
      <c r="P249" s="25"/>
    </row>
    <row r="250" spans="2:16" x14ac:dyDescent="0.2">
      <c r="B250" s="21"/>
      <c r="C250" s="35"/>
      <c r="D250" s="603" t="str">
        <f>+D134</f>
        <v>School 31</v>
      </c>
      <c r="E250" s="35"/>
      <c r="F250" s="191" t="str">
        <f t="shared" si="11"/>
        <v>categorie 1</v>
      </c>
      <c r="G250" s="71"/>
      <c r="H250" s="35"/>
      <c r="I250" s="553">
        <f>ROUND('geg ZO'!J216*VLOOKUP($F250,categorieMatVSO,5,FALSE),0)</f>
        <v>0</v>
      </c>
      <c r="J250" s="553">
        <f>ROUND('geg ZO'!K216*VLOOKUP($F250,categorieMatVSO,5,FALSE),0)</f>
        <v>0</v>
      </c>
      <c r="K250" s="553">
        <f>ROUND('geg ZO'!L216*VLOOKUP($F250,categorieMatVSO,5,FALSE),0)</f>
        <v>0</v>
      </c>
      <c r="L250" s="553">
        <f>ROUND('geg ZO'!M216*VLOOKUP($F250,categorieMatVSO,5,FALSE),0)</f>
        <v>0</v>
      </c>
      <c r="M250" s="553">
        <f>ROUND('geg ZO'!N216*VLOOKUP($F250,categorieMatVSO,5,FALSE),0)</f>
        <v>0</v>
      </c>
      <c r="N250" s="553">
        <f>ROUND('geg ZO'!O216*VLOOKUP($F250,categorieMatVSO,5,FALSE),0)</f>
        <v>0</v>
      </c>
      <c r="O250" s="35"/>
      <c r="P250" s="25"/>
    </row>
    <row r="251" spans="2:16" x14ac:dyDescent="0.2">
      <c r="B251" s="21"/>
      <c r="C251" s="35"/>
      <c r="D251" s="38"/>
      <c r="E251" s="35"/>
      <c r="F251" s="191" t="str">
        <f t="shared" si="11"/>
        <v>categorie 2</v>
      </c>
      <c r="G251" s="71"/>
      <c r="H251" s="35"/>
      <c r="I251" s="553">
        <f>ROUND('geg ZO'!J217*VLOOKUP($F251,categorieMatVSO,5,FALSE),0)</f>
        <v>0</v>
      </c>
      <c r="J251" s="553">
        <f>ROUND('geg ZO'!K217*VLOOKUP($F251,categorieMatVSO,5,FALSE),0)</f>
        <v>0</v>
      </c>
      <c r="K251" s="553">
        <f>ROUND('geg ZO'!L217*VLOOKUP($F251,categorieMatVSO,5,FALSE),0)</f>
        <v>0</v>
      </c>
      <c r="L251" s="553">
        <f>ROUND('geg ZO'!M217*VLOOKUP($F251,categorieMatVSO,5,FALSE),0)</f>
        <v>0</v>
      </c>
      <c r="M251" s="553">
        <f>ROUND('geg ZO'!N217*VLOOKUP($F251,categorieMatVSO,5,FALSE),0)</f>
        <v>0</v>
      </c>
      <c r="N251" s="553">
        <f>ROUND('geg ZO'!O217*VLOOKUP($F251,categorieMatVSO,5,FALSE),0)</f>
        <v>0</v>
      </c>
      <c r="O251" s="35"/>
      <c r="P251" s="25"/>
    </row>
    <row r="252" spans="2:16" x14ac:dyDescent="0.2">
      <c r="B252" s="21"/>
      <c r="C252" s="35"/>
      <c r="D252" s="38"/>
      <c r="E252" s="35"/>
      <c r="F252" s="191" t="str">
        <f t="shared" si="11"/>
        <v>categorie 3</v>
      </c>
      <c r="G252" s="71"/>
      <c r="H252" s="35"/>
      <c r="I252" s="553">
        <f>ROUND('geg ZO'!J218*VLOOKUP($F252,categorieMatVSO,5,FALSE),0)</f>
        <v>0</v>
      </c>
      <c r="J252" s="553">
        <f>ROUND('geg ZO'!K218*VLOOKUP($F252,categorieMatVSO,5,FALSE),0)</f>
        <v>0</v>
      </c>
      <c r="K252" s="553">
        <f>ROUND('geg ZO'!L218*VLOOKUP($F252,categorieMatVSO,5,FALSE),0)</f>
        <v>0</v>
      </c>
      <c r="L252" s="553">
        <f>ROUND('geg ZO'!M218*VLOOKUP($F252,categorieMatVSO,5,FALSE),0)</f>
        <v>0</v>
      </c>
      <c r="M252" s="553">
        <f>ROUND('geg ZO'!N218*VLOOKUP($F252,categorieMatVSO,5,FALSE),0)</f>
        <v>0</v>
      </c>
      <c r="N252" s="553">
        <f>ROUND('geg ZO'!O218*VLOOKUP($F252,categorieMatVSO,5,FALSE),0)</f>
        <v>0</v>
      </c>
      <c r="O252" s="35"/>
      <c r="P252" s="25"/>
    </row>
    <row r="253" spans="2:16" x14ac:dyDescent="0.2">
      <c r="B253" s="21"/>
      <c r="C253" s="35"/>
      <c r="D253" s="603" t="str">
        <f>+D137</f>
        <v>School 32</v>
      </c>
      <c r="E253" s="35"/>
      <c r="F253" s="191" t="str">
        <f t="shared" si="11"/>
        <v>categorie 1</v>
      </c>
      <c r="G253" s="71"/>
      <c r="H253" s="35"/>
      <c r="I253" s="553">
        <f>ROUND('geg ZO'!J221*VLOOKUP($F253,categorieMatVSO,5,FALSE),0)</f>
        <v>0</v>
      </c>
      <c r="J253" s="553">
        <f>ROUND('geg ZO'!K221*VLOOKUP($F253,categorieMatVSO,5,FALSE),0)</f>
        <v>0</v>
      </c>
      <c r="K253" s="553">
        <f>ROUND('geg ZO'!L221*VLOOKUP($F253,categorieMatVSO,5,FALSE),0)</f>
        <v>0</v>
      </c>
      <c r="L253" s="553">
        <f>ROUND('geg ZO'!M221*VLOOKUP($F253,categorieMatVSO,5,FALSE),0)</f>
        <v>0</v>
      </c>
      <c r="M253" s="553">
        <f>ROUND('geg ZO'!N221*VLOOKUP($F253,categorieMatVSO,5,FALSE),0)</f>
        <v>0</v>
      </c>
      <c r="N253" s="553">
        <f>ROUND('geg ZO'!O221*VLOOKUP($F253,categorieMatVSO,5,FALSE),0)</f>
        <v>0</v>
      </c>
      <c r="O253" s="35"/>
      <c r="P253" s="25"/>
    </row>
    <row r="254" spans="2:16" x14ac:dyDescent="0.2">
      <c r="B254" s="21"/>
      <c r="C254" s="35"/>
      <c r="D254" s="38"/>
      <c r="E254" s="35"/>
      <c r="F254" s="191" t="str">
        <f t="shared" si="11"/>
        <v>categorie 2</v>
      </c>
      <c r="G254" s="71"/>
      <c r="H254" s="35"/>
      <c r="I254" s="553">
        <f>ROUND('geg ZO'!J222*VLOOKUP($F254,categorieMatVSO,5,FALSE),0)</f>
        <v>0</v>
      </c>
      <c r="J254" s="553">
        <f>ROUND('geg ZO'!K222*VLOOKUP($F254,categorieMatVSO,5,FALSE),0)</f>
        <v>0</v>
      </c>
      <c r="K254" s="553">
        <f>ROUND('geg ZO'!L222*VLOOKUP($F254,categorieMatVSO,5,FALSE),0)</f>
        <v>0</v>
      </c>
      <c r="L254" s="553">
        <f>ROUND('geg ZO'!M222*VLOOKUP($F254,categorieMatVSO,5,FALSE),0)</f>
        <v>0</v>
      </c>
      <c r="M254" s="553">
        <f>ROUND('geg ZO'!N222*VLOOKUP($F254,categorieMatVSO,5,FALSE),0)</f>
        <v>0</v>
      </c>
      <c r="N254" s="553">
        <f>ROUND('geg ZO'!O222*VLOOKUP($F254,categorieMatVSO,5,FALSE),0)</f>
        <v>0</v>
      </c>
      <c r="O254" s="35"/>
      <c r="P254" s="25"/>
    </row>
    <row r="255" spans="2:16" x14ac:dyDescent="0.2">
      <c r="B255" s="21"/>
      <c r="C255" s="35"/>
      <c r="D255" s="38"/>
      <c r="E255" s="35"/>
      <c r="F255" s="191" t="str">
        <f t="shared" si="11"/>
        <v>categorie 3</v>
      </c>
      <c r="G255" s="71"/>
      <c r="H255" s="35"/>
      <c r="I255" s="553">
        <f>ROUND('geg ZO'!J223*VLOOKUP($F255,categorieMatVSO,5,FALSE),0)</f>
        <v>0</v>
      </c>
      <c r="J255" s="553">
        <f>ROUND('geg ZO'!K223*VLOOKUP($F255,categorieMatVSO,5,FALSE),0)</f>
        <v>0</v>
      </c>
      <c r="K255" s="553">
        <f>ROUND('geg ZO'!L223*VLOOKUP($F255,categorieMatVSO,5,FALSE),0)</f>
        <v>0</v>
      </c>
      <c r="L255" s="553">
        <f>ROUND('geg ZO'!M223*VLOOKUP($F255,categorieMatVSO,5,FALSE),0)</f>
        <v>0</v>
      </c>
      <c r="M255" s="553">
        <f>ROUND('geg ZO'!N223*VLOOKUP($F255,categorieMatVSO,5,FALSE),0)</f>
        <v>0</v>
      </c>
      <c r="N255" s="553">
        <f>ROUND('geg ZO'!O223*VLOOKUP($F255,categorieMatVSO,5,FALSE),0)</f>
        <v>0</v>
      </c>
      <c r="O255" s="35"/>
      <c r="P255" s="25"/>
    </row>
    <row r="256" spans="2:16" x14ac:dyDescent="0.2">
      <c r="B256" s="21"/>
      <c r="C256" s="35"/>
      <c r="D256" s="603" t="str">
        <f>+D140</f>
        <v>School 33</v>
      </c>
      <c r="E256" s="35"/>
      <c r="F256" s="191" t="str">
        <f t="shared" si="11"/>
        <v>categorie 1</v>
      </c>
      <c r="G256" s="71"/>
      <c r="H256" s="35"/>
      <c r="I256" s="553">
        <f>ROUND('geg ZO'!J226*VLOOKUP($F256,categorieMatVSO,5,FALSE),0)</f>
        <v>0</v>
      </c>
      <c r="J256" s="553">
        <f>ROUND('geg ZO'!K226*VLOOKUP($F256,categorieMatVSO,5,FALSE),0)</f>
        <v>0</v>
      </c>
      <c r="K256" s="553">
        <f>ROUND('geg ZO'!L226*VLOOKUP($F256,categorieMatVSO,5,FALSE),0)</f>
        <v>0</v>
      </c>
      <c r="L256" s="553">
        <f>ROUND('geg ZO'!M226*VLOOKUP($F256,categorieMatVSO,5,FALSE),0)</f>
        <v>0</v>
      </c>
      <c r="M256" s="553">
        <f>ROUND('geg ZO'!N226*VLOOKUP($F256,categorieMatVSO,5,FALSE),0)</f>
        <v>0</v>
      </c>
      <c r="N256" s="553">
        <f>ROUND('geg ZO'!O226*VLOOKUP($F256,categorieMatVSO,5,FALSE),0)</f>
        <v>0</v>
      </c>
      <c r="O256" s="35"/>
      <c r="P256" s="25"/>
    </row>
    <row r="257" spans="2:16" x14ac:dyDescent="0.2">
      <c r="B257" s="21"/>
      <c r="C257" s="35"/>
      <c r="D257" s="38"/>
      <c r="E257" s="35"/>
      <c r="F257" s="191" t="str">
        <f t="shared" si="11"/>
        <v>categorie 2</v>
      </c>
      <c r="G257" s="71"/>
      <c r="H257" s="35"/>
      <c r="I257" s="553">
        <f>ROUND('geg ZO'!J227*VLOOKUP($F257,categorieMatVSO,5,FALSE),0)</f>
        <v>0</v>
      </c>
      <c r="J257" s="553">
        <f>ROUND('geg ZO'!K227*VLOOKUP($F257,categorieMatVSO,5,FALSE),0)</f>
        <v>0</v>
      </c>
      <c r="K257" s="553">
        <f>ROUND('geg ZO'!L227*VLOOKUP($F257,categorieMatVSO,5,FALSE),0)</f>
        <v>0</v>
      </c>
      <c r="L257" s="553">
        <f>ROUND('geg ZO'!M227*VLOOKUP($F257,categorieMatVSO,5,FALSE),0)</f>
        <v>0</v>
      </c>
      <c r="M257" s="553">
        <f>ROUND('geg ZO'!N227*VLOOKUP($F257,categorieMatVSO,5,FALSE),0)</f>
        <v>0</v>
      </c>
      <c r="N257" s="553">
        <f>ROUND('geg ZO'!O227*VLOOKUP($F257,categorieMatVSO,5,FALSE),0)</f>
        <v>0</v>
      </c>
      <c r="O257" s="35"/>
      <c r="P257" s="25"/>
    </row>
    <row r="258" spans="2:16" x14ac:dyDescent="0.2">
      <c r="B258" s="21"/>
      <c r="C258" s="35"/>
      <c r="D258" s="38"/>
      <c r="E258" s="35"/>
      <c r="F258" s="191" t="str">
        <f t="shared" si="11"/>
        <v>categorie 3</v>
      </c>
      <c r="G258" s="71"/>
      <c r="H258" s="35"/>
      <c r="I258" s="553">
        <f>ROUND('geg ZO'!J228*VLOOKUP($F258,categorieMatVSO,5,FALSE),0)</f>
        <v>0</v>
      </c>
      <c r="J258" s="553">
        <f>ROUND('geg ZO'!K228*VLOOKUP($F258,categorieMatVSO,5,FALSE),0)</f>
        <v>0</v>
      </c>
      <c r="K258" s="553">
        <f>ROUND('geg ZO'!L228*VLOOKUP($F258,categorieMatVSO,5,FALSE),0)</f>
        <v>0</v>
      </c>
      <c r="L258" s="553">
        <f>ROUND('geg ZO'!M228*VLOOKUP($F258,categorieMatVSO,5,FALSE),0)</f>
        <v>0</v>
      </c>
      <c r="M258" s="553">
        <f>ROUND('geg ZO'!N228*VLOOKUP($F258,categorieMatVSO,5,FALSE),0)</f>
        <v>0</v>
      </c>
      <c r="N258" s="553">
        <f>ROUND('geg ZO'!O228*VLOOKUP($F258,categorieMatVSO,5,FALSE),0)</f>
        <v>0</v>
      </c>
      <c r="O258" s="35"/>
      <c r="P258" s="25"/>
    </row>
    <row r="259" spans="2:16" x14ac:dyDescent="0.2">
      <c r="B259" s="21"/>
      <c r="C259" s="35"/>
      <c r="D259" s="603" t="str">
        <f>+D143</f>
        <v>School 34</v>
      </c>
      <c r="E259" s="35"/>
      <c r="F259" s="191" t="str">
        <f t="shared" si="11"/>
        <v>categorie 1</v>
      </c>
      <c r="G259" s="71"/>
      <c r="H259" s="35"/>
      <c r="I259" s="553">
        <f>ROUND('geg ZO'!J231*VLOOKUP($F259,categorieMatVSO,5,FALSE),0)</f>
        <v>0</v>
      </c>
      <c r="J259" s="553">
        <f>ROUND('geg ZO'!K231*VLOOKUP($F259,categorieMatVSO,5,FALSE),0)</f>
        <v>0</v>
      </c>
      <c r="K259" s="553">
        <f>ROUND('geg ZO'!L231*VLOOKUP($F259,categorieMatVSO,5,FALSE),0)</f>
        <v>0</v>
      </c>
      <c r="L259" s="553">
        <f>ROUND('geg ZO'!M231*VLOOKUP($F259,categorieMatVSO,5,FALSE),0)</f>
        <v>0</v>
      </c>
      <c r="M259" s="553">
        <f>ROUND('geg ZO'!N231*VLOOKUP($F259,categorieMatVSO,5,FALSE),0)</f>
        <v>0</v>
      </c>
      <c r="N259" s="553">
        <f>ROUND('geg ZO'!O231*VLOOKUP($F259,categorieMatVSO,5,FALSE),0)</f>
        <v>0</v>
      </c>
      <c r="O259" s="35"/>
      <c r="P259" s="25"/>
    </row>
    <row r="260" spans="2:16" x14ac:dyDescent="0.2">
      <c r="B260" s="21"/>
      <c r="C260" s="35"/>
      <c r="D260" s="38"/>
      <c r="E260" s="35"/>
      <c r="F260" s="191" t="str">
        <f t="shared" si="11"/>
        <v>categorie 2</v>
      </c>
      <c r="G260" s="71"/>
      <c r="H260" s="35"/>
      <c r="I260" s="553">
        <f>ROUND('geg ZO'!J232*VLOOKUP($F260,categorieMatVSO,5,FALSE),0)</f>
        <v>0</v>
      </c>
      <c r="J260" s="553">
        <f>ROUND('geg ZO'!K232*VLOOKUP($F260,categorieMatVSO,5,FALSE),0)</f>
        <v>0</v>
      </c>
      <c r="K260" s="553">
        <f>ROUND('geg ZO'!L232*VLOOKUP($F260,categorieMatVSO,5,FALSE),0)</f>
        <v>0</v>
      </c>
      <c r="L260" s="553">
        <f>ROUND('geg ZO'!M232*VLOOKUP($F260,categorieMatVSO,5,FALSE),0)</f>
        <v>0</v>
      </c>
      <c r="M260" s="553">
        <f>ROUND('geg ZO'!N232*VLOOKUP($F260,categorieMatVSO,5,FALSE),0)</f>
        <v>0</v>
      </c>
      <c r="N260" s="553">
        <f>ROUND('geg ZO'!O232*VLOOKUP($F260,categorieMatVSO,5,FALSE),0)</f>
        <v>0</v>
      </c>
      <c r="O260" s="35"/>
      <c r="P260" s="25"/>
    </row>
    <row r="261" spans="2:16" x14ac:dyDescent="0.2">
      <c r="B261" s="21"/>
      <c r="C261" s="35"/>
      <c r="D261" s="38"/>
      <c r="E261" s="35"/>
      <c r="F261" s="191" t="str">
        <f t="shared" si="11"/>
        <v>categorie 3</v>
      </c>
      <c r="G261" s="71"/>
      <c r="H261" s="35"/>
      <c r="I261" s="553">
        <f>ROUND('geg ZO'!J233*VLOOKUP($F261,categorieMatVSO,5,FALSE),0)</f>
        <v>0</v>
      </c>
      <c r="J261" s="553">
        <f>ROUND('geg ZO'!K233*VLOOKUP($F261,categorieMatVSO,5,FALSE),0)</f>
        <v>0</v>
      </c>
      <c r="K261" s="553">
        <f>ROUND('geg ZO'!L233*VLOOKUP($F261,categorieMatVSO,5,FALSE),0)</f>
        <v>0</v>
      </c>
      <c r="L261" s="553">
        <f>ROUND('geg ZO'!M233*VLOOKUP($F261,categorieMatVSO,5,FALSE),0)</f>
        <v>0</v>
      </c>
      <c r="M261" s="553">
        <f>ROUND('geg ZO'!N233*VLOOKUP($F261,categorieMatVSO,5,FALSE),0)</f>
        <v>0</v>
      </c>
      <c r="N261" s="553">
        <f>ROUND('geg ZO'!O233*VLOOKUP($F261,categorieMatVSO,5,FALSE),0)</f>
        <v>0</v>
      </c>
      <c r="O261" s="35"/>
      <c r="P261" s="25"/>
    </row>
    <row r="262" spans="2:16" x14ac:dyDescent="0.2">
      <c r="B262" s="21"/>
      <c r="C262" s="35"/>
      <c r="D262" s="603" t="str">
        <f>+D146</f>
        <v>School 35</v>
      </c>
      <c r="E262" s="35"/>
      <c r="F262" s="191" t="str">
        <f t="shared" si="11"/>
        <v>categorie 1</v>
      </c>
      <c r="G262" s="71"/>
      <c r="H262" s="35"/>
      <c r="I262" s="553">
        <f>ROUND('geg ZO'!J236*VLOOKUP($F262,categorieMatVSO,5,FALSE),0)</f>
        <v>0</v>
      </c>
      <c r="J262" s="553">
        <f>ROUND('geg ZO'!K236*VLOOKUP($F262,categorieMatVSO,5,FALSE),0)</f>
        <v>0</v>
      </c>
      <c r="K262" s="553">
        <f>ROUND('geg ZO'!L236*VLOOKUP($F262,categorieMatVSO,5,FALSE),0)</f>
        <v>0</v>
      </c>
      <c r="L262" s="553">
        <f>ROUND('geg ZO'!M236*VLOOKUP($F262,categorieMatVSO,5,FALSE),0)</f>
        <v>0</v>
      </c>
      <c r="M262" s="553">
        <f>ROUND('geg ZO'!N236*VLOOKUP($F262,categorieMatVSO,5,FALSE),0)</f>
        <v>0</v>
      </c>
      <c r="N262" s="553">
        <f>ROUND('geg ZO'!O236*VLOOKUP($F262,categorieMatVSO,5,FALSE),0)</f>
        <v>0</v>
      </c>
      <c r="O262" s="35"/>
      <c r="P262" s="25"/>
    </row>
    <row r="263" spans="2:16" x14ac:dyDescent="0.2">
      <c r="B263" s="21"/>
      <c r="C263" s="35"/>
      <c r="D263" s="38"/>
      <c r="E263" s="35"/>
      <c r="F263" s="191" t="str">
        <f t="shared" si="11"/>
        <v>categorie 2</v>
      </c>
      <c r="G263" s="71"/>
      <c r="H263" s="35"/>
      <c r="I263" s="553">
        <f>ROUND('geg ZO'!J237*VLOOKUP($F263,categorieMatVSO,5,FALSE),0)</f>
        <v>0</v>
      </c>
      <c r="J263" s="553">
        <f>ROUND('geg ZO'!K237*VLOOKUP($F263,categorieMatVSO,5,FALSE),0)</f>
        <v>0</v>
      </c>
      <c r="K263" s="553">
        <f>ROUND('geg ZO'!L237*VLOOKUP($F263,categorieMatVSO,5,FALSE),0)</f>
        <v>0</v>
      </c>
      <c r="L263" s="553">
        <f>ROUND('geg ZO'!M237*VLOOKUP($F263,categorieMatVSO,5,FALSE),0)</f>
        <v>0</v>
      </c>
      <c r="M263" s="553">
        <f>ROUND('geg ZO'!N237*VLOOKUP($F263,categorieMatVSO,5,FALSE),0)</f>
        <v>0</v>
      </c>
      <c r="N263" s="553">
        <f>ROUND('geg ZO'!O237*VLOOKUP($F263,categorieMatVSO,5,FALSE),0)</f>
        <v>0</v>
      </c>
      <c r="O263" s="35"/>
      <c r="P263" s="25"/>
    </row>
    <row r="264" spans="2:16" x14ac:dyDescent="0.2">
      <c r="B264" s="21"/>
      <c r="C264" s="35"/>
      <c r="D264" s="38"/>
      <c r="E264" s="35"/>
      <c r="F264" s="191" t="str">
        <f t="shared" si="11"/>
        <v>categorie 3</v>
      </c>
      <c r="G264" s="71"/>
      <c r="H264" s="35"/>
      <c r="I264" s="553">
        <f>ROUND('geg ZO'!J238*VLOOKUP($F264,categorieMatVSO,5,FALSE),0)</f>
        <v>0</v>
      </c>
      <c r="J264" s="553">
        <f>ROUND('geg ZO'!K238*VLOOKUP($F264,categorieMatVSO,5,FALSE),0)</f>
        <v>0</v>
      </c>
      <c r="K264" s="553">
        <f>ROUND('geg ZO'!L238*VLOOKUP($F264,categorieMatVSO,5,FALSE),0)</f>
        <v>0</v>
      </c>
      <c r="L264" s="553">
        <f>ROUND('geg ZO'!M238*VLOOKUP($F264,categorieMatVSO,5,FALSE),0)</f>
        <v>0</v>
      </c>
      <c r="M264" s="553">
        <f>ROUND('geg ZO'!N238*VLOOKUP($F264,categorieMatVSO,5,FALSE),0)</f>
        <v>0</v>
      </c>
      <c r="N264" s="553">
        <f>ROUND('geg ZO'!O238*VLOOKUP($F264,categorieMatVSO,5,FALSE),0)</f>
        <v>0</v>
      </c>
      <c r="O264" s="35"/>
      <c r="P264" s="25"/>
    </row>
    <row r="265" spans="2:16" x14ac:dyDescent="0.2">
      <c r="B265" s="21"/>
      <c r="C265" s="35"/>
      <c r="D265" s="37"/>
      <c r="E265" s="35"/>
      <c r="F265" s="37"/>
      <c r="G265" s="37"/>
      <c r="H265" s="35"/>
      <c r="I265" s="407"/>
      <c r="J265" s="407"/>
      <c r="K265" s="407"/>
      <c r="L265" s="407"/>
      <c r="M265" s="407"/>
      <c r="N265" s="407"/>
      <c r="O265" s="35"/>
      <c r="P265" s="25"/>
    </row>
    <row r="266" spans="2:16" x14ac:dyDescent="0.2">
      <c r="B266" s="21"/>
      <c r="C266" s="35"/>
      <c r="D266" s="37" t="s">
        <v>15</v>
      </c>
      <c r="E266" s="35"/>
      <c r="F266" s="35"/>
      <c r="G266" s="35"/>
      <c r="H266" s="35"/>
      <c r="I266" s="552">
        <f>SUM(I160:I264)</f>
        <v>0</v>
      </c>
      <c r="J266" s="552">
        <f t="shared" ref="J266:N266" si="12">SUM(J160:J204) +SUM(J205:J264)</f>
        <v>0</v>
      </c>
      <c r="K266" s="552">
        <f t="shared" si="12"/>
        <v>0</v>
      </c>
      <c r="L266" s="552">
        <f t="shared" si="12"/>
        <v>0</v>
      </c>
      <c r="M266" s="552">
        <f t="shared" si="12"/>
        <v>0</v>
      </c>
      <c r="N266" s="552">
        <f t="shared" si="12"/>
        <v>0</v>
      </c>
      <c r="O266" s="35"/>
      <c r="P266" s="25"/>
    </row>
    <row r="267" spans="2:16" x14ac:dyDescent="0.2">
      <c r="B267" s="21"/>
      <c r="C267" s="35"/>
      <c r="D267" s="35"/>
      <c r="E267" s="35"/>
      <c r="F267" s="35"/>
      <c r="G267" s="35"/>
      <c r="H267" s="35"/>
      <c r="I267" s="409"/>
      <c r="J267" s="409"/>
      <c r="K267" s="409"/>
      <c r="L267" s="409"/>
      <c r="M267" s="409"/>
      <c r="N267" s="409"/>
      <c r="O267" s="35"/>
      <c r="P267" s="25"/>
    </row>
    <row r="268" spans="2:16" x14ac:dyDescent="0.2">
      <c r="B268" s="21"/>
      <c r="C268" s="22"/>
      <c r="D268" s="22"/>
      <c r="E268" s="22"/>
      <c r="F268" s="22"/>
      <c r="G268" s="22"/>
      <c r="H268" s="22"/>
      <c r="I268" s="161"/>
      <c r="J268" s="161"/>
      <c r="K268" s="161"/>
      <c r="L268" s="161"/>
      <c r="M268" s="161"/>
      <c r="N268" s="161"/>
      <c r="O268" s="22"/>
      <c r="P268" s="25"/>
    </row>
    <row r="269" spans="2:16" x14ac:dyDescent="0.2">
      <c r="B269" s="183"/>
      <c r="C269" s="163"/>
      <c r="D269" s="163"/>
      <c r="E269" s="163"/>
      <c r="F269" s="163"/>
      <c r="G269" s="163"/>
      <c r="H269" s="163"/>
      <c r="I269" s="164"/>
      <c r="J269" s="164"/>
      <c r="K269" s="164"/>
      <c r="L269" s="164"/>
      <c r="M269" s="164"/>
      <c r="N269" s="164"/>
      <c r="O269" s="163"/>
      <c r="P269" s="185"/>
    </row>
    <row r="270" spans="2:16" x14ac:dyDescent="0.2">
      <c r="I270" s="165"/>
      <c r="J270" s="165"/>
      <c r="K270" s="165"/>
      <c r="L270" s="165"/>
      <c r="M270" s="165"/>
      <c r="N270" s="165"/>
    </row>
    <row r="271" spans="2:16" x14ac:dyDescent="0.2">
      <c r="I271" s="165"/>
      <c r="J271" s="165"/>
      <c r="K271" s="165"/>
      <c r="L271" s="165"/>
      <c r="M271" s="165"/>
      <c r="N271" s="165"/>
    </row>
    <row r="272" spans="2:16" x14ac:dyDescent="0.2">
      <c r="I272" s="165"/>
      <c r="J272" s="165"/>
      <c r="K272" s="165"/>
      <c r="L272" s="165"/>
      <c r="M272" s="165"/>
      <c r="N272" s="165"/>
    </row>
    <row r="273" spans="2:45" x14ac:dyDescent="0.2">
      <c r="I273" s="165"/>
      <c r="J273" s="165"/>
      <c r="K273" s="165"/>
      <c r="L273" s="165"/>
      <c r="M273" s="165"/>
      <c r="N273" s="165"/>
    </row>
    <row r="274" spans="2:45" x14ac:dyDescent="0.2">
      <c r="I274" s="165"/>
      <c r="J274" s="165"/>
      <c r="K274" s="165"/>
      <c r="L274" s="165"/>
      <c r="M274" s="165"/>
      <c r="N274" s="165"/>
    </row>
    <row r="275" spans="2:45" x14ac:dyDescent="0.2">
      <c r="I275" s="165"/>
      <c r="J275" s="165"/>
      <c r="K275" s="165"/>
      <c r="L275" s="165"/>
      <c r="M275" s="165"/>
      <c r="N275" s="165"/>
    </row>
    <row r="276" spans="2:45" x14ac:dyDescent="0.2">
      <c r="I276" s="165"/>
      <c r="J276" s="165"/>
      <c r="K276" s="165"/>
      <c r="L276" s="165"/>
      <c r="M276" s="165"/>
      <c r="N276" s="165"/>
    </row>
    <row r="277" spans="2:45" x14ac:dyDescent="0.2">
      <c r="B277" s="6"/>
      <c r="C277" s="6"/>
      <c r="D277" s="6"/>
      <c r="E277" s="6"/>
      <c r="F277" s="6"/>
      <c r="G277" s="6"/>
      <c r="H277" s="6"/>
      <c r="I277" s="399"/>
      <c r="J277" s="399"/>
      <c r="K277" s="399"/>
      <c r="L277" s="399"/>
      <c r="M277" s="399"/>
      <c r="N277" s="399"/>
      <c r="O277" s="6"/>
      <c r="P277" s="6"/>
    </row>
    <row r="278" spans="2:45" x14ac:dyDescent="0.2">
      <c r="B278" s="6"/>
      <c r="C278" s="6"/>
      <c r="D278" s="17"/>
      <c r="E278" s="6"/>
      <c r="F278" s="6"/>
      <c r="G278" s="6"/>
      <c r="H278" s="6"/>
      <c r="I278" s="399"/>
      <c r="J278" s="399"/>
      <c r="K278" s="399"/>
      <c r="L278" s="399"/>
      <c r="M278" s="399"/>
      <c r="N278" s="399"/>
      <c r="O278" s="6"/>
      <c r="P278" s="6"/>
    </row>
    <row r="279" spans="2:45" x14ac:dyDescent="0.2">
      <c r="B279" s="6"/>
      <c r="C279" s="6"/>
      <c r="D279" s="17"/>
      <c r="E279" s="6"/>
      <c r="F279" s="6"/>
      <c r="G279" s="6"/>
      <c r="H279" s="6"/>
      <c r="I279" s="399"/>
      <c r="J279" s="399"/>
      <c r="K279" s="399"/>
      <c r="L279" s="399"/>
      <c r="M279" s="399"/>
      <c r="N279" s="399"/>
      <c r="O279" s="6"/>
      <c r="P279" s="6"/>
    </row>
    <row r="280" spans="2:45" x14ac:dyDescent="0.2">
      <c r="B280" s="6"/>
      <c r="C280" s="6"/>
      <c r="D280" s="17"/>
      <c r="E280" s="6"/>
      <c r="F280" s="6"/>
      <c r="G280" s="6"/>
      <c r="H280" s="6"/>
      <c r="I280" s="399"/>
      <c r="J280" s="399"/>
      <c r="K280" s="399"/>
      <c r="L280" s="399"/>
      <c r="M280" s="399"/>
      <c r="N280" s="399"/>
      <c r="O280" s="6"/>
      <c r="P280" s="6"/>
    </row>
    <row r="281" spans="2:45" x14ac:dyDescent="0.2">
      <c r="B281" s="6"/>
      <c r="C281" s="6"/>
      <c r="D281" s="17"/>
      <c r="E281" s="6"/>
      <c r="F281" s="6"/>
      <c r="G281" s="6"/>
      <c r="H281" s="6"/>
      <c r="I281" s="399"/>
      <c r="J281" s="399"/>
      <c r="K281" s="399"/>
      <c r="L281" s="399"/>
      <c r="M281" s="399"/>
      <c r="N281" s="399"/>
      <c r="O281" s="6"/>
      <c r="P281" s="6"/>
      <c r="AG281" s="400"/>
    </row>
    <row r="282" spans="2:45" x14ac:dyDescent="0.2">
      <c r="B282" s="6"/>
      <c r="C282" s="6"/>
      <c r="D282" s="17"/>
      <c r="E282" s="6"/>
      <c r="F282" s="6"/>
      <c r="G282" s="6"/>
      <c r="H282" s="6"/>
      <c r="I282" s="399"/>
      <c r="J282" s="399"/>
      <c r="K282" s="399"/>
      <c r="L282" s="399"/>
      <c r="M282" s="399"/>
      <c r="N282" s="399"/>
      <c r="O282" s="6"/>
      <c r="P282" s="6"/>
      <c r="AE282" s="848"/>
      <c r="AF282" s="848"/>
      <c r="AG282" s="401"/>
    </row>
    <row r="283" spans="2:45" x14ac:dyDescent="0.2">
      <c r="B283" s="6"/>
      <c r="C283" s="6"/>
      <c r="D283" s="6"/>
      <c r="E283" s="6"/>
      <c r="F283" s="6"/>
      <c r="G283" s="6"/>
      <c r="H283" s="6"/>
      <c r="I283" s="399"/>
      <c r="J283" s="399"/>
      <c r="K283" s="399"/>
      <c r="L283" s="399"/>
      <c r="M283" s="399"/>
      <c r="N283" s="399"/>
      <c r="O283" s="6"/>
      <c r="P283" s="6"/>
      <c r="AE283" s="848"/>
      <c r="AF283" s="848"/>
      <c r="AG283" s="400"/>
      <c r="AS283" s="402"/>
    </row>
    <row r="284" spans="2:45" x14ac:dyDescent="0.2">
      <c r="B284" s="6"/>
      <c r="C284" s="6"/>
      <c r="D284" s="17"/>
      <c r="E284" s="6"/>
      <c r="F284" s="6"/>
      <c r="G284" s="6"/>
      <c r="H284" s="6"/>
      <c r="I284" s="399"/>
      <c r="J284" s="399"/>
      <c r="K284" s="399"/>
      <c r="L284" s="399"/>
      <c r="M284" s="399"/>
      <c r="N284" s="399"/>
      <c r="O284" s="6"/>
      <c r="P284" s="6"/>
      <c r="AE284" s="848"/>
      <c r="AF284" s="848"/>
      <c r="AG284" s="403"/>
      <c r="AS284" s="402"/>
    </row>
    <row r="285" spans="2:45" x14ac:dyDescent="0.2">
      <c r="B285" s="6"/>
      <c r="C285" s="6"/>
      <c r="D285" s="17"/>
      <c r="E285" s="6"/>
      <c r="F285" s="6"/>
      <c r="G285" s="6"/>
      <c r="H285" s="6"/>
      <c r="I285" s="399"/>
      <c r="J285" s="399"/>
      <c r="K285" s="399"/>
      <c r="L285" s="399"/>
      <c r="M285" s="399"/>
      <c r="N285" s="399"/>
      <c r="O285" s="6"/>
      <c r="P285" s="6"/>
      <c r="AE285" s="848"/>
      <c r="AF285" s="848"/>
      <c r="AG285" s="400"/>
    </row>
    <row r="286" spans="2:45" x14ac:dyDescent="0.2">
      <c r="B286" s="6"/>
      <c r="C286" s="6"/>
      <c r="D286" s="17"/>
      <c r="E286" s="6"/>
      <c r="F286" s="6"/>
      <c r="G286" s="6"/>
      <c r="H286" s="6"/>
      <c r="I286" s="399"/>
      <c r="J286" s="399"/>
      <c r="K286" s="399"/>
      <c r="L286" s="399"/>
      <c r="M286" s="399"/>
      <c r="N286" s="399"/>
      <c r="O286" s="6"/>
      <c r="P286" s="6"/>
      <c r="AE286" s="848"/>
      <c r="AF286" s="848"/>
      <c r="AG286" s="400"/>
    </row>
    <row r="287" spans="2:45" x14ac:dyDescent="0.2">
      <c r="B287" s="6"/>
      <c r="C287" s="6"/>
      <c r="D287" s="6"/>
      <c r="E287" s="6"/>
      <c r="F287" s="6"/>
      <c r="G287" s="6"/>
      <c r="H287" s="6"/>
      <c r="I287" s="399"/>
      <c r="J287" s="399"/>
      <c r="K287" s="399"/>
      <c r="L287" s="399"/>
      <c r="M287" s="399"/>
      <c r="N287" s="399"/>
      <c r="O287" s="6"/>
      <c r="P287" s="6"/>
    </row>
    <row r="289" spans="1:43" x14ac:dyDescent="0.2">
      <c r="A289" s="196"/>
    </row>
    <row r="292" spans="1:43" x14ac:dyDescent="0.2">
      <c r="AH292" s="6"/>
      <c r="AI292" s="6"/>
      <c r="AJ292" s="6"/>
      <c r="AK292" s="404"/>
      <c r="AL292" s="404"/>
      <c r="AM292" s="404"/>
      <c r="AN292" s="404"/>
      <c r="AO292" s="404"/>
      <c r="AP292" s="6"/>
      <c r="AQ292" s="6"/>
    </row>
    <row r="293" spans="1:43" x14ac:dyDescent="0.2">
      <c r="AH293" s="6"/>
      <c r="AI293" s="6"/>
      <c r="AJ293" s="6"/>
      <c r="AK293" s="404"/>
      <c r="AL293" s="404"/>
      <c r="AM293" s="404"/>
      <c r="AN293" s="404"/>
      <c r="AO293" s="404"/>
      <c r="AP293" s="6"/>
      <c r="AQ293" s="6"/>
    </row>
    <row r="294" spans="1:43" x14ac:dyDescent="0.2">
      <c r="AH294" s="6"/>
      <c r="AI294" s="6"/>
      <c r="AJ294" s="6"/>
      <c r="AK294" s="404"/>
      <c r="AL294" s="404"/>
      <c r="AM294" s="404"/>
      <c r="AN294" s="404"/>
      <c r="AO294" s="404"/>
      <c r="AP294" s="6"/>
      <c r="AQ294" s="6"/>
    </row>
    <row r="295" spans="1:43" x14ac:dyDescent="0.2">
      <c r="AH295" s="6"/>
      <c r="AI295" s="6"/>
      <c r="AJ295" s="6"/>
      <c r="AK295" s="404"/>
      <c r="AL295" s="404"/>
      <c r="AM295" s="404"/>
      <c r="AN295" s="404"/>
      <c r="AO295" s="404"/>
      <c r="AP295" s="6"/>
      <c r="AQ295" s="6"/>
    </row>
    <row r="296" spans="1:43" x14ac:dyDescent="0.2">
      <c r="AH296" s="6"/>
      <c r="AI296" s="6"/>
      <c r="AJ296" s="6"/>
      <c r="AK296" s="404"/>
      <c r="AL296" s="404"/>
      <c r="AM296" s="404"/>
      <c r="AN296" s="404"/>
      <c r="AO296" s="404"/>
      <c r="AP296" s="6"/>
      <c r="AQ296" s="6"/>
    </row>
    <row r="297" spans="1:43" x14ac:dyDescent="0.2">
      <c r="AH297" s="6"/>
      <c r="AI297" s="6"/>
      <c r="AJ297" s="6"/>
      <c r="AK297" s="404"/>
      <c r="AL297" s="404"/>
      <c r="AM297" s="404"/>
      <c r="AN297" s="404"/>
      <c r="AO297" s="404"/>
      <c r="AP297" s="6"/>
      <c r="AQ297" s="6"/>
    </row>
    <row r="298" spans="1:43" x14ac:dyDescent="0.2">
      <c r="AH298" s="6"/>
      <c r="AI298" s="6"/>
      <c r="AJ298" s="6"/>
      <c r="AK298" s="404"/>
      <c r="AL298" s="404"/>
      <c r="AM298" s="404"/>
      <c r="AN298" s="404"/>
      <c r="AO298" s="404"/>
      <c r="AP298" s="6"/>
      <c r="AQ298" s="6"/>
    </row>
    <row r="299" spans="1:43" x14ac:dyDescent="0.2">
      <c r="AH299" s="6"/>
      <c r="AI299" s="6"/>
      <c r="AJ299" s="6"/>
      <c r="AK299" s="404"/>
      <c r="AL299" s="404"/>
      <c r="AM299" s="404"/>
      <c r="AN299" s="404"/>
      <c r="AO299" s="404"/>
      <c r="AP299" s="6"/>
      <c r="AQ299" s="6"/>
    </row>
    <row r="300" spans="1:43" x14ac:dyDescent="0.2">
      <c r="AH300" s="6"/>
      <c r="AI300" s="6"/>
      <c r="AJ300" s="6"/>
      <c r="AK300" s="404"/>
      <c r="AL300" s="404"/>
      <c r="AM300" s="404"/>
      <c r="AN300" s="404"/>
      <c r="AO300" s="404"/>
      <c r="AP300" s="6"/>
      <c r="AQ300" s="6"/>
    </row>
    <row r="301" spans="1:43" x14ac:dyDescent="0.2">
      <c r="AH301" s="6"/>
      <c r="AI301" s="6"/>
      <c r="AJ301" s="6"/>
      <c r="AK301" s="404"/>
      <c r="AL301" s="404"/>
      <c r="AM301" s="404"/>
      <c r="AN301" s="404"/>
      <c r="AO301" s="404"/>
      <c r="AP301" s="6"/>
      <c r="AQ301" s="6"/>
    </row>
    <row r="302" spans="1:43" x14ac:dyDescent="0.2">
      <c r="AH302" s="6"/>
      <c r="AI302" s="6"/>
      <c r="AJ302" s="6"/>
      <c r="AK302" s="404"/>
      <c r="AL302" s="404"/>
      <c r="AM302" s="404"/>
      <c r="AN302" s="404"/>
      <c r="AO302" s="404"/>
      <c r="AP302" s="6"/>
      <c r="AQ302" s="6"/>
    </row>
    <row r="306" spans="1:31" s="196" customFormat="1" x14ac:dyDescent="0.2">
      <c r="A306" s="165"/>
      <c r="B306" s="165"/>
      <c r="C306" s="165"/>
      <c r="D306" s="165"/>
      <c r="E306" s="165"/>
      <c r="F306" s="165"/>
      <c r="G306" s="165"/>
      <c r="H306" s="165"/>
      <c r="I306" s="405"/>
      <c r="J306" s="405"/>
      <c r="K306" s="405"/>
      <c r="L306" s="405"/>
      <c r="M306" s="405"/>
      <c r="N306" s="405"/>
      <c r="O306" s="165"/>
      <c r="P306" s="165"/>
      <c r="S306" s="165"/>
      <c r="T306" s="165"/>
      <c r="U306" s="165"/>
      <c r="V306" s="165"/>
      <c r="W306" s="165"/>
      <c r="X306" s="165"/>
      <c r="Y306" s="165"/>
      <c r="Z306" s="165"/>
      <c r="AA306" s="165"/>
      <c r="AB306" s="165"/>
      <c r="AC306" s="165"/>
      <c r="AD306" s="165"/>
      <c r="AE306" s="165"/>
    </row>
    <row r="311" spans="1:31" x14ac:dyDescent="0.2">
      <c r="Q311" s="6"/>
      <c r="R311" s="6"/>
    </row>
    <row r="312" spans="1:31" x14ac:dyDescent="0.2">
      <c r="Q312" s="6"/>
      <c r="R312" s="6"/>
    </row>
    <row r="313" spans="1:31" x14ac:dyDescent="0.2">
      <c r="Q313" s="6"/>
      <c r="R313" s="6"/>
    </row>
    <row r="314" spans="1:31" x14ac:dyDescent="0.2">
      <c r="Q314" s="6"/>
      <c r="R314" s="6"/>
    </row>
    <row r="315" spans="1:31" x14ac:dyDescent="0.2">
      <c r="Q315" s="6"/>
      <c r="R315" s="6"/>
    </row>
    <row r="316" spans="1:31" x14ac:dyDescent="0.2">
      <c r="Q316" s="6"/>
      <c r="R316" s="6"/>
    </row>
    <row r="317" spans="1:31" x14ac:dyDescent="0.2">
      <c r="Q317" s="6"/>
      <c r="R317" s="6"/>
    </row>
    <row r="318" spans="1:31" x14ac:dyDescent="0.2">
      <c r="Q318" s="6"/>
      <c r="R318" s="6"/>
    </row>
    <row r="319" spans="1:31" x14ac:dyDescent="0.2">
      <c r="Q319" s="6"/>
      <c r="R319" s="6"/>
    </row>
    <row r="320" spans="1:31" x14ac:dyDescent="0.2">
      <c r="Q320" s="6"/>
      <c r="R320" s="6"/>
    </row>
    <row r="321" spans="17:18" x14ac:dyDescent="0.2">
      <c r="Q321" s="6"/>
      <c r="R321" s="6"/>
    </row>
  </sheetData>
  <sheetProtection algorithmName="SHA-512" hashValue="7y7E/RGbFa8XSKYoqxcDHgEEnWe7NUk6a6RY/sCN2YIqNi41umy/RpvSFpUcg/Wjm18AeM7Cv/9UXwoKlSadrA==" saltValue="kl4zc7YZAFrOugr0s8g5VQ==" spinCount="100000" sheet="1" objects="1" scenarios="1"/>
  <phoneticPr fontId="0" type="noConversion"/>
  <pageMargins left="0.75" right="0.75" top="1" bottom="1" header="0.5" footer="0.5"/>
  <pageSetup paperSize="9" scale="44"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36" min="1" max="14" man="1"/>
    <brk id="94" min="17" max="30" man="1"/>
    <brk id="153" min="1" max="14"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D107"/>
  <sheetViews>
    <sheetView showGridLines="0" zoomScale="85" zoomScaleNormal="85" zoomScaleSheetLayoutView="85" workbookViewId="0">
      <selection activeCell="B2" sqref="B2"/>
    </sheetView>
  </sheetViews>
  <sheetFormatPr defaultRowHeight="12.75" x14ac:dyDescent="0.2"/>
  <cols>
    <col min="1" max="1" width="3.7109375" style="165" customWidth="1"/>
    <col min="2" max="2" width="2.7109375" style="165" customWidth="1"/>
    <col min="3" max="3" width="13.140625" style="165" customWidth="1"/>
    <col min="4" max="4" width="30.7109375" style="165" customWidth="1"/>
    <col min="5" max="5" width="15.5703125" style="165" customWidth="1"/>
    <col min="6" max="6" width="2.7109375" style="165" customWidth="1"/>
    <col min="7" max="7" width="14.85546875" style="165" customWidth="1"/>
    <col min="8" max="13" width="14.85546875" style="405" customWidth="1"/>
    <col min="14" max="14" width="10" style="405" customWidth="1"/>
    <col min="15" max="16" width="2.7109375" style="165" customWidth="1"/>
    <col min="17" max="17" width="9.140625" style="165"/>
    <col min="18" max="18" width="10" style="165" bestFit="1" customWidth="1"/>
    <col min="19" max="16384" width="9.140625" style="165"/>
  </cols>
  <sheetData>
    <row r="2" spans="2:16" x14ac:dyDescent="0.2">
      <c r="B2" s="18"/>
      <c r="C2" s="19"/>
      <c r="D2" s="19"/>
      <c r="E2" s="19"/>
      <c r="F2" s="19"/>
      <c r="G2" s="162"/>
      <c r="H2" s="162"/>
      <c r="I2" s="162"/>
      <c r="J2" s="162"/>
      <c r="K2" s="162"/>
      <c r="L2" s="162"/>
      <c r="M2" s="162"/>
      <c r="N2" s="162"/>
      <c r="O2" s="19"/>
      <c r="P2" s="20"/>
    </row>
    <row r="3" spans="2:16" x14ac:dyDescent="0.2">
      <c r="B3" s="21"/>
      <c r="C3" s="22"/>
      <c r="D3" s="22"/>
      <c r="E3" s="22"/>
      <c r="F3" s="22"/>
      <c r="G3" s="161"/>
      <c r="H3" s="161"/>
      <c r="I3" s="161"/>
      <c r="J3" s="161"/>
      <c r="K3" s="161"/>
      <c r="L3" s="161"/>
      <c r="M3" s="161"/>
      <c r="N3" s="161"/>
      <c r="O3" s="22"/>
      <c r="P3" s="25"/>
    </row>
    <row r="4" spans="2:16" s="168" customFormat="1" ht="18.75" x14ac:dyDescent="0.3">
      <c r="B4" s="175"/>
      <c r="C4" s="643" t="s">
        <v>913</v>
      </c>
      <c r="D4" s="177"/>
      <c r="E4" s="177"/>
      <c r="F4" s="177"/>
      <c r="G4" s="395"/>
      <c r="H4" s="395"/>
      <c r="I4" s="395"/>
      <c r="J4" s="395"/>
      <c r="K4" s="395"/>
      <c r="L4" s="395"/>
      <c r="M4" s="395"/>
      <c r="N4" s="395"/>
      <c r="O4" s="177"/>
      <c r="P4" s="179"/>
    </row>
    <row r="5" spans="2:16" s="169" customFormat="1" ht="18.75" x14ac:dyDescent="0.3">
      <c r="B5" s="26"/>
      <c r="C5" s="406" t="str">
        <f>'geg LO'!C5</f>
        <v xml:space="preserve">SWV VO </v>
      </c>
      <c r="D5" s="27"/>
      <c r="E5" s="27"/>
      <c r="F5" s="27"/>
      <c r="G5" s="396"/>
      <c r="H5" s="396"/>
      <c r="I5" s="396"/>
      <c r="J5" s="396"/>
      <c r="K5" s="396"/>
      <c r="L5" s="396"/>
      <c r="M5" s="396"/>
      <c r="N5" s="396"/>
      <c r="O5" s="27"/>
      <c r="P5" s="28"/>
    </row>
    <row r="6" spans="2:16" x14ac:dyDescent="0.2">
      <c r="B6" s="21"/>
      <c r="C6" s="22"/>
      <c r="D6" s="22"/>
      <c r="E6" s="22"/>
      <c r="F6" s="22"/>
      <c r="G6" s="161"/>
      <c r="H6" s="161"/>
      <c r="I6" s="161"/>
      <c r="J6" s="161"/>
      <c r="K6" s="161"/>
      <c r="L6" s="161"/>
      <c r="M6" s="161"/>
      <c r="N6" s="161"/>
      <c r="O6" s="22"/>
      <c r="P6" s="25"/>
    </row>
    <row r="7" spans="2:16" ht="15" x14ac:dyDescent="0.25">
      <c r="B7" s="21"/>
      <c r="C7" s="954" t="s">
        <v>589</v>
      </c>
      <c r="D7" s="22"/>
      <c r="E7" s="22"/>
      <c r="F7" s="22"/>
      <c r="G7" s="161"/>
      <c r="H7" s="161"/>
      <c r="I7" s="161"/>
      <c r="J7" s="161"/>
      <c r="K7" s="161"/>
      <c r="L7" s="161"/>
      <c r="M7" s="161"/>
      <c r="N7" s="161"/>
      <c r="O7" s="22"/>
      <c r="P7" s="25"/>
    </row>
    <row r="8" spans="2:16" x14ac:dyDescent="0.2">
      <c r="B8" s="21"/>
      <c r="C8" s="22"/>
      <c r="D8" s="22"/>
      <c r="E8" s="609" t="s">
        <v>145</v>
      </c>
      <c r="F8" s="610"/>
      <c r="G8" s="616" t="str">
        <f>+tab!E2</f>
        <v>2015/16</v>
      </c>
      <c r="H8" s="616" t="str">
        <f>+tab!F2</f>
        <v>2016/17</v>
      </c>
      <c r="I8" s="616" t="str">
        <f>+tab!G2</f>
        <v>2017/18</v>
      </c>
      <c r="J8" s="616" t="str">
        <f>+tab!H2</f>
        <v>2018/19</v>
      </c>
      <c r="K8" s="616" t="str">
        <f>+tab!I2</f>
        <v>2019/20</v>
      </c>
      <c r="L8" s="616" t="str">
        <f>+tab!J2</f>
        <v>2020/21</v>
      </c>
      <c r="M8" s="616"/>
      <c r="N8" s="616"/>
      <c r="O8" s="22"/>
      <c r="P8" s="25"/>
    </row>
    <row r="9" spans="2:16" x14ac:dyDescent="0.2">
      <c r="B9" s="21"/>
      <c r="C9" s="22"/>
      <c r="D9" s="22"/>
      <c r="E9" s="609" t="s">
        <v>163</v>
      </c>
      <c r="F9" s="610"/>
      <c r="G9" s="597">
        <f>+tab!E4</f>
        <v>2015</v>
      </c>
      <c r="H9" s="597">
        <f>+tab!F4</f>
        <v>2016</v>
      </c>
      <c r="I9" s="597">
        <f>+tab!G4</f>
        <v>2017</v>
      </c>
      <c r="J9" s="597">
        <f>+tab!H4</f>
        <v>2018</v>
      </c>
      <c r="K9" s="597">
        <f>+tab!I4</f>
        <v>2019</v>
      </c>
      <c r="L9" s="597">
        <f>+tab!J4</f>
        <v>2020</v>
      </c>
      <c r="M9" s="597"/>
      <c r="N9" s="597"/>
      <c r="O9" s="22"/>
      <c r="P9" s="25"/>
    </row>
    <row r="10" spans="2:16" x14ac:dyDescent="0.2">
      <c r="B10" s="21"/>
      <c r="C10" s="22"/>
      <c r="D10" s="22"/>
      <c r="E10" s="22"/>
      <c r="F10" s="22"/>
      <c r="G10" s="161"/>
      <c r="H10" s="161"/>
      <c r="I10" s="161"/>
      <c r="J10" s="161"/>
      <c r="K10" s="161"/>
      <c r="L10" s="161"/>
      <c r="M10" s="161"/>
      <c r="N10" s="161"/>
      <c r="O10" s="22"/>
      <c r="P10" s="25"/>
    </row>
    <row r="11" spans="2:16" x14ac:dyDescent="0.2">
      <c r="B11" s="21"/>
      <c r="C11" s="35"/>
      <c r="D11" s="37"/>
      <c r="E11" s="37"/>
      <c r="F11" s="35"/>
      <c r="G11" s="410"/>
      <c r="H11" s="410"/>
      <c r="I11" s="410"/>
      <c r="J11" s="410"/>
      <c r="K11" s="410"/>
      <c r="L11" s="410"/>
      <c r="M11" s="36"/>
      <c r="N11" s="1264"/>
      <c r="O11" s="39"/>
      <c r="P11" s="25"/>
    </row>
    <row r="12" spans="2:16" x14ac:dyDescent="0.2">
      <c r="B12" s="21"/>
      <c r="C12" s="35"/>
      <c r="D12" s="199" t="s">
        <v>380</v>
      </c>
      <c r="E12" s="37"/>
      <c r="F12" s="35"/>
      <c r="G12" s="638" t="str">
        <f>+tab!E2</f>
        <v>2015/16</v>
      </c>
      <c r="H12" s="638" t="str">
        <f>+tab!F2</f>
        <v>2016/17</v>
      </c>
      <c r="I12" s="638" t="str">
        <f>+tab!G2</f>
        <v>2017/18</v>
      </c>
      <c r="J12" s="638" t="str">
        <f>+tab!H2</f>
        <v>2018/19</v>
      </c>
      <c r="K12" s="638" t="str">
        <f>+tab!I2</f>
        <v>2019/20</v>
      </c>
      <c r="L12" s="638" t="str">
        <f>+tab!J2</f>
        <v>2020/21</v>
      </c>
      <c r="M12" s="36"/>
      <c r="N12" s="6"/>
      <c r="O12" s="1265"/>
      <c r="P12" s="25"/>
    </row>
    <row r="13" spans="2:16" x14ac:dyDescent="0.2">
      <c r="B13" s="21"/>
      <c r="C13" s="35"/>
      <c r="D13" s="199" t="s">
        <v>14</v>
      </c>
      <c r="E13" s="191"/>
      <c r="F13" s="35"/>
      <c r="G13" s="1556">
        <f>+pers!H175+7/12*pers!I175</f>
        <v>0</v>
      </c>
      <c r="H13" s="1556">
        <f>5/12*pers!I175+7/12*pers!J175</f>
        <v>0</v>
      </c>
      <c r="I13" s="1556">
        <f>5/12*pers!J175+7/12*pers!K175</f>
        <v>0</v>
      </c>
      <c r="J13" s="1556">
        <f>5/12*pers!K175+7/12*pers!L175</f>
        <v>0</v>
      </c>
      <c r="K13" s="1556">
        <f>5/12*pers!L175+7/12*pers!M175</f>
        <v>0</v>
      </c>
      <c r="L13" s="1556">
        <f>pers!M175</f>
        <v>0</v>
      </c>
      <c r="M13" s="36"/>
      <c r="N13" s="6"/>
      <c r="O13" s="1265"/>
      <c r="P13" s="25"/>
    </row>
    <row r="14" spans="2:16" x14ac:dyDescent="0.2">
      <c r="B14" s="21"/>
      <c r="C14" s="35"/>
      <c r="D14" s="199" t="s">
        <v>414</v>
      </c>
      <c r="E14" s="37"/>
      <c r="F14" s="35"/>
      <c r="G14" s="658" t="e">
        <f>ROUND(G13/'geg ZO'!J37,2)</f>
        <v>#DIV/0!</v>
      </c>
      <c r="H14" s="658" t="e">
        <f>ROUND(H13/'geg ZO'!K37,2)</f>
        <v>#DIV/0!</v>
      </c>
      <c r="I14" s="658" t="e">
        <f>ROUND(I13/'geg ZO'!L37,2)</f>
        <v>#DIV/0!</v>
      </c>
      <c r="J14" s="658" t="e">
        <f>ROUND(J13/'geg ZO'!M37,2)</f>
        <v>#DIV/0!</v>
      </c>
      <c r="K14" s="658" t="e">
        <f>ROUND(K13/'geg ZO'!N37,2)</f>
        <v>#DIV/0!</v>
      </c>
      <c r="L14" s="658" t="e">
        <f>ROUND(L13/'geg ZO'!O37,2)</f>
        <v>#DIV/0!</v>
      </c>
      <c r="M14" s="36"/>
      <c r="N14" s="6"/>
      <c r="O14" s="1265"/>
      <c r="P14" s="25"/>
    </row>
    <row r="15" spans="2:16" x14ac:dyDescent="0.2">
      <c r="B15" s="21"/>
      <c r="C15" s="35"/>
      <c r="D15" s="191"/>
      <c r="E15" s="37"/>
      <c r="F15" s="35"/>
      <c r="G15" s="410"/>
      <c r="H15" s="410"/>
      <c r="I15" s="410"/>
      <c r="J15" s="410"/>
      <c r="K15" s="410"/>
      <c r="L15" s="410"/>
      <c r="M15" s="36"/>
      <c r="N15" s="6"/>
      <c r="O15" s="1265"/>
      <c r="P15" s="25"/>
    </row>
    <row r="16" spans="2:16" x14ac:dyDescent="0.2">
      <c r="B16" s="21"/>
      <c r="C16" s="35"/>
      <c r="D16" s="110" t="s">
        <v>275</v>
      </c>
      <c r="E16" s="37"/>
      <c r="F16" s="35"/>
      <c r="G16" s="551">
        <f>+pers!H63+pers!H67-'overdr VSO'!I15</f>
        <v>0</v>
      </c>
      <c r="H16" s="551">
        <f>+pers!I63+pers!I67-'overdr VSO'!J15</f>
        <v>0</v>
      </c>
      <c r="I16" s="551">
        <f>+pers!J63+pers!J67-'overdr VSO'!K15</f>
        <v>0</v>
      </c>
      <c r="J16" s="551">
        <f>+pers!K63+pers!K67-'overdr VSO'!L15</f>
        <v>0</v>
      </c>
      <c r="K16" s="551">
        <f>+pers!L63+pers!L67-'overdr VSO'!M15</f>
        <v>0</v>
      </c>
      <c r="L16" s="551">
        <f>+pers!M63+pers!M67-'overdr VSO'!N15</f>
        <v>0</v>
      </c>
      <c r="M16" s="36"/>
      <c r="N16" s="6"/>
      <c r="O16" s="1265"/>
      <c r="P16" s="25"/>
    </row>
    <row r="17" spans="2:16" x14ac:dyDescent="0.2">
      <c r="B17" s="21"/>
      <c r="C17" s="35"/>
      <c r="D17" s="110" t="s">
        <v>276</v>
      </c>
      <c r="E17" s="37"/>
      <c r="F17" s="35"/>
      <c r="G17" s="551">
        <f>+G13</f>
        <v>0</v>
      </c>
      <c r="H17" s="551">
        <f t="shared" ref="H17:L17" si="0">+H13</f>
        <v>0</v>
      </c>
      <c r="I17" s="551">
        <f t="shared" si="0"/>
        <v>0</v>
      </c>
      <c r="J17" s="551">
        <f t="shared" si="0"/>
        <v>0</v>
      </c>
      <c r="K17" s="551">
        <f t="shared" si="0"/>
        <v>0</v>
      </c>
      <c r="L17" s="551">
        <f t="shared" si="0"/>
        <v>0</v>
      </c>
      <c r="M17" s="36"/>
      <c r="N17" s="6"/>
      <c r="O17" s="1265"/>
      <c r="P17" s="25"/>
    </row>
    <row r="18" spans="2:16" x14ac:dyDescent="0.2">
      <c r="B18" s="21"/>
      <c r="C18" s="35"/>
      <c r="D18" s="114" t="s">
        <v>586</v>
      </c>
      <c r="E18" s="37"/>
      <c r="F18" s="35"/>
      <c r="G18" s="557">
        <f>IF(G16&gt;G17,0,IF(G16&lt;0,G17,G17-G16))</f>
        <v>0</v>
      </c>
      <c r="H18" s="557">
        <f t="shared" ref="H18:L18" si="1">IF(H16&gt;H17,0,IF(H16&lt;0,H17,H17-H16))</f>
        <v>0</v>
      </c>
      <c r="I18" s="557">
        <f t="shared" si="1"/>
        <v>0</v>
      </c>
      <c r="J18" s="557">
        <f t="shared" si="1"/>
        <v>0</v>
      </c>
      <c r="K18" s="557">
        <f t="shared" si="1"/>
        <v>0</v>
      </c>
      <c r="L18" s="557">
        <f t="shared" si="1"/>
        <v>0</v>
      </c>
      <c r="M18" s="36"/>
      <c r="N18" s="6"/>
      <c r="O18" s="1265"/>
      <c r="P18" s="25"/>
    </row>
    <row r="19" spans="2:16" x14ac:dyDescent="0.2">
      <c r="B19" s="21"/>
      <c r="C19" s="1263" t="s">
        <v>810</v>
      </c>
      <c r="D19" s="199" t="s">
        <v>533</v>
      </c>
      <c r="E19" s="37"/>
      <c r="F19" s="35"/>
      <c r="G19" s="658" t="e">
        <f>ROUND(G18/'geg ZO'!J37,2)</f>
        <v>#DIV/0!</v>
      </c>
      <c r="H19" s="658" t="e">
        <f>ROUND(H18/'geg ZO'!K37,2)</f>
        <v>#DIV/0!</v>
      </c>
      <c r="I19" s="658" t="e">
        <f>ROUND(I18/'geg ZO'!L37,2)</f>
        <v>#DIV/0!</v>
      </c>
      <c r="J19" s="658" t="e">
        <f>ROUND(J18/'geg ZO'!M37,2)</f>
        <v>#DIV/0!</v>
      </c>
      <c r="K19" s="658" t="e">
        <f>ROUND(K18/'geg ZO'!N37,2)</f>
        <v>#DIV/0!</v>
      </c>
      <c r="L19" s="658" t="e">
        <f>ROUND(L18/'geg ZO'!O37,2)</f>
        <v>#DIV/0!</v>
      </c>
      <c r="M19" s="36"/>
      <c r="N19" s="6"/>
      <c r="O19" s="1265"/>
      <c r="P19" s="25"/>
    </row>
    <row r="20" spans="2:16" x14ac:dyDescent="0.2">
      <c r="B20" s="936"/>
      <c r="C20" s="35"/>
      <c r="D20" s="621"/>
      <c r="E20" s="51"/>
      <c r="F20" s="40"/>
      <c r="G20" s="1261"/>
      <c r="H20" s="1261"/>
      <c r="I20" s="1261"/>
      <c r="J20" s="1261"/>
      <c r="K20" s="1261"/>
      <c r="L20" s="1261"/>
      <c r="M20" s="36"/>
      <c r="N20" s="6"/>
      <c r="O20" s="1265"/>
      <c r="P20" s="25"/>
    </row>
    <row r="21" spans="2:16" x14ac:dyDescent="0.2">
      <c r="B21" s="936"/>
      <c r="C21" s="1263"/>
      <c r="D21" s="621" t="s">
        <v>882</v>
      </c>
      <c r="E21" s="51"/>
      <c r="F21" s="40"/>
      <c r="G21" s="1546">
        <f>+'overdr VSO'!I15+'peild VSO'!G17</f>
        <v>0</v>
      </c>
      <c r="H21" s="1546">
        <f>+'overdr VSO'!J15+'peild VSO'!H17</f>
        <v>0</v>
      </c>
      <c r="I21" s="1546">
        <f>+'overdr VSO'!K15+'peild VSO'!I17</f>
        <v>0</v>
      </c>
      <c r="J21" s="1546">
        <f>+'overdr VSO'!L15+'peild VSO'!J17</f>
        <v>0</v>
      </c>
      <c r="K21" s="1546">
        <f>+'overdr VSO'!M15+'peild VSO'!K17</f>
        <v>0</v>
      </c>
      <c r="L21" s="1546">
        <f>+'overdr VSO'!N15+'peild VSO'!L17</f>
        <v>0</v>
      </c>
      <c r="M21" s="36"/>
      <c r="N21" s="6"/>
      <c r="O21" s="1265"/>
      <c r="P21" s="25"/>
    </row>
    <row r="22" spans="2:16" x14ac:dyDescent="0.2">
      <c r="B22" s="936"/>
      <c r="C22" s="35"/>
      <c r="D22" s="621" t="s">
        <v>809</v>
      </c>
      <c r="E22" s="51"/>
      <c r="F22" s="40"/>
      <c r="G22" s="1262" t="e">
        <f>+G21/'geg ZO'!J$37</f>
        <v>#DIV/0!</v>
      </c>
      <c r="H22" s="1262" t="e">
        <f>+H21/'geg ZO'!K37</f>
        <v>#DIV/0!</v>
      </c>
      <c r="I22" s="1262" t="e">
        <f>+I21/'geg ZO'!L37</f>
        <v>#DIV/0!</v>
      </c>
      <c r="J22" s="1262" t="e">
        <f>+J21/'geg ZO'!M37</f>
        <v>#DIV/0!</v>
      </c>
      <c r="K22" s="1262" t="e">
        <f>+K21/'geg ZO'!N37</f>
        <v>#DIV/0!</v>
      </c>
      <c r="L22" s="1262" t="e">
        <f>+L21/'geg ZO'!O37</f>
        <v>#DIV/0!</v>
      </c>
      <c r="M22" s="36"/>
      <c r="N22" s="6"/>
      <c r="O22" s="1265"/>
      <c r="P22" s="25"/>
    </row>
    <row r="23" spans="2:16" x14ac:dyDescent="0.2">
      <c r="B23" s="21"/>
      <c r="C23" s="35"/>
      <c r="D23" s="539"/>
      <c r="E23" s="539"/>
      <c r="F23" s="540"/>
      <c r="G23" s="622"/>
      <c r="H23" s="622"/>
      <c r="I23" s="622"/>
      <c r="J23" s="622"/>
      <c r="K23" s="622"/>
      <c r="L23" s="622"/>
      <c r="M23" s="36"/>
      <c r="N23" s="6"/>
      <c r="O23" s="1265"/>
      <c r="P23" s="25"/>
    </row>
    <row r="24" spans="2:16" x14ac:dyDescent="0.2">
      <c r="B24" s="21"/>
      <c r="C24" s="35"/>
      <c r="D24" s="42"/>
      <c r="E24" s="42"/>
      <c r="F24" s="32"/>
      <c r="G24" s="574"/>
      <c r="H24" s="574"/>
      <c r="I24" s="574"/>
      <c r="J24" s="574"/>
      <c r="K24" s="574"/>
      <c r="L24" s="574"/>
      <c r="M24" s="36"/>
      <c r="N24" s="6"/>
      <c r="O24" s="1265"/>
      <c r="P24" s="25"/>
    </row>
    <row r="25" spans="2:16" x14ac:dyDescent="0.2">
      <c r="B25" s="21"/>
      <c r="C25" s="35"/>
      <c r="D25" s="42" t="s">
        <v>380</v>
      </c>
      <c r="E25" s="37"/>
      <c r="F25" s="35"/>
      <c r="G25" s="639">
        <f>+tab!E4</f>
        <v>2015</v>
      </c>
      <c r="H25" s="639">
        <f>+tab!F4</f>
        <v>2016</v>
      </c>
      <c r="I25" s="639">
        <f>+tab!G4</f>
        <v>2017</v>
      </c>
      <c r="J25" s="639">
        <f>+tab!H4</f>
        <v>2018</v>
      </c>
      <c r="K25" s="639">
        <f>+tab!I4</f>
        <v>2019</v>
      </c>
      <c r="L25" s="639">
        <f>+tab!J4</f>
        <v>2020</v>
      </c>
      <c r="M25" s="36"/>
      <c r="N25" s="6"/>
      <c r="O25" s="1265"/>
      <c r="P25" s="25"/>
    </row>
    <row r="26" spans="2:16" x14ac:dyDescent="0.2">
      <c r="B26" s="21"/>
      <c r="C26" s="35"/>
      <c r="D26" s="37" t="s">
        <v>15</v>
      </c>
      <c r="E26" s="191"/>
      <c r="F26" s="35"/>
      <c r="G26" s="557">
        <f>mat!J158</f>
        <v>0</v>
      </c>
      <c r="H26" s="557">
        <f>mat!K158</f>
        <v>0</v>
      </c>
      <c r="I26" s="557">
        <f>mat!L158</f>
        <v>0</v>
      </c>
      <c r="J26" s="557">
        <f>mat!M158</f>
        <v>0</v>
      </c>
      <c r="K26" s="557">
        <f>mat!N158</f>
        <v>0</v>
      </c>
      <c r="L26" s="557">
        <f>mat!O158</f>
        <v>0</v>
      </c>
      <c r="M26" s="36"/>
      <c r="N26" s="6"/>
      <c r="O26" s="1265"/>
      <c r="P26" s="25"/>
    </row>
    <row r="27" spans="2:16" x14ac:dyDescent="0.2">
      <c r="B27" s="21"/>
      <c r="C27" s="35"/>
      <c r="D27" s="199" t="s">
        <v>414</v>
      </c>
      <c r="E27" s="37"/>
      <c r="F27" s="35"/>
      <c r="G27" s="658" t="e">
        <f>ROUND(G26/'geg ZO'!J37,2)</f>
        <v>#DIV/0!</v>
      </c>
      <c r="H27" s="658" t="e">
        <f>ROUND(H26/'geg ZO'!K37,2)</f>
        <v>#DIV/0!</v>
      </c>
      <c r="I27" s="658" t="e">
        <f>ROUND(I26/'geg ZO'!L37,2)</f>
        <v>#DIV/0!</v>
      </c>
      <c r="J27" s="658" t="e">
        <f>ROUND(J26/'geg ZO'!M37,2)</f>
        <v>#DIV/0!</v>
      </c>
      <c r="K27" s="658" t="e">
        <f>ROUND(K26/'geg ZO'!N37,2)</f>
        <v>#DIV/0!</v>
      </c>
      <c r="L27" s="658" t="e">
        <f>ROUND(L26/'geg ZO'!O37,2)</f>
        <v>#DIV/0!</v>
      </c>
      <c r="M27" s="36"/>
      <c r="N27" s="6"/>
      <c r="O27" s="1265"/>
      <c r="P27" s="25"/>
    </row>
    <row r="28" spans="2:16" x14ac:dyDescent="0.2">
      <c r="B28" s="21"/>
      <c r="C28" s="35"/>
      <c r="D28" s="37"/>
      <c r="E28" s="37"/>
      <c r="F28" s="35"/>
      <c r="G28" s="410"/>
      <c r="H28" s="410"/>
      <c r="I28" s="410"/>
      <c r="J28" s="410"/>
      <c r="K28" s="410"/>
      <c r="L28" s="410"/>
      <c r="M28" s="36"/>
      <c r="N28" s="6"/>
      <c r="O28" s="1265"/>
      <c r="P28" s="25"/>
    </row>
    <row r="29" spans="2:16" x14ac:dyDescent="0.2">
      <c r="B29" s="21"/>
      <c r="C29" s="35"/>
      <c r="D29" s="110" t="s">
        <v>277</v>
      </c>
      <c r="E29" s="37"/>
      <c r="F29" s="35"/>
      <c r="G29" s="551">
        <f>+'overdr VSO'!I22-'overdr VSO'!I21</f>
        <v>0</v>
      </c>
      <c r="H29" s="551">
        <f>+'overdr VSO'!J22-'overdr VSO'!J21</f>
        <v>0</v>
      </c>
      <c r="I29" s="551">
        <f>+'overdr VSO'!K22-'overdr VSO'!K21</f>
        <v>0</v>
      </c>
      <c r="J29" s="551">
        <f>+'overdr VSO'!L22-'overdr VSO'!L21</f>
        <v>0</v>
      </c>
      <c r="K29" s="551">
        <f>+'overdr VSO'!M22-'overdr VSO'!M21</f>
        <v>0</v>
      </c>
      <c r="L29" s="551">
        <f>+'overdr VSO'!N22-'overdr VSO'!N21</f>
        <v>0</v>
      </c>
      <c r="M29" s="36"/>
      <c r="N29" s="6"/>
      <c r="O29" s="1265"/>
      <c r="P29" s="25"/>
    </row>
    <row r="30" spans="2:16" x14ac:dyDescent="0.2">
      <c r="B30" s="21"/>
      <c r="C30" s="35"/>
      <c r="D30" s="110" t="s">
        <v>278</v>
      </c>
      <c r="E30" s="37"/>
      <c r="F30" s="35"/>
      <c r="G30" s="551">
        <f>+G26</f>
        <v>0</v>
      </c>
      <c r="H30" s="551">
        <f t="shared" ref="H30:L30" si="2">+H26</f>
        <v>0</v>
      </c>
      <c r="I30" s="551">
        <f t="shared" si="2"/>
        <v>0</v>
      </c>
      <c r="J30" s="551">
        <f t="shared" si="2"/>
        <v>0</v>
      </c>
      <c r="K30" s="551">
        <f t="shared" si="2"/>
        <v>0</v>
      </c>
      <c r="L30" s="551">
        <f t="shared" si="2"/>
        <v>0</v>
      </c>
      <c r="M30" s="36"/>
      <c r="N30" s="6"/>
      <c r="O30" s="1265"/>
      <c r="P30" s="25"/>
    </row>
    <row r="31" spans="2:16" x14ac:dyDescent="0.2">
      <c r="B31" s="21"/>
      <c r="C31" s="35"/>
      <c r="D31" s="114" t="s">
        <v>587</v>
      </c>
      <c r="E31" s="37"/>
      <c r="F31" s="35"/>
      <c r="G31" s="557">
        <f>IF(G29&gt;G30,0,IF(G29&lt;0,G30,G30-G29))</f>
        <v>0</v>
      </c>
      <c r="H31" s="557">
        <f t="shared" ref="H31:L31" si="3">IF(H29&gt;H30,0,IF(H29&lt;0,H30,H30-H29))</f>
        <v>0</v>
      </c>
      <c r="I31" s="557">
        <f t="shared" si="3"/>
        <v>0</v>
      </c>
      <c r="J31" s="557">
        <f t="shared" si="3"/>
        <v>0</v>
      </c>
      <c r="K31" s="557">
        <f t="shared" si="3"/>
        <v>0</v>
      </c>
      <c r="L31" s="557">
        <f t="shared" si="3"/>
        <v>0</v>
      </c>
      <c r="M31" s="36"/>
      <c r="N31" s="6"/>
      <c r="O31" s="1265"/>
      <c r="P31" s="25"/>
    </row>
    <row r="32" spans="2:16" x14ac:dyDescent="0.2">
      <c r="B32" s="21"/>
      <c r="C32" s="1263" t="s">
        <v>810</v>
      </c>
      <c r="D32" s="199" t="s">
        <v>533</v>
      </c>
      <c r="E32" s="37"/>
      <c r="F32" s="35"/>
      <c r="G32" s="658" t="e">
        <f>ROUND(G31/'geg ZO'!J37,2)</f>
        <v>#DIV/0!</v>
      </c>
      <c r="H32" s="658" t="e">
        <f>ROUND(H31/'geg ZO'!K37,2)</f>
        <v>#DIV/0!</v>
      </c>
      <c r="I32" s="658" t="e">
        <f>ROUND(I31/'geg ZO'!L37,2)</f>
        <v>#DIV/0!</v>
      </c>
      <c r="J32" s="658" t="e">
        <f>ROUND(J31/'geg ZO'!M37,2)</f>
        <v>#DIV/0!</v>
      </c>
      <c r="K32" s="658" t="e">
        <f>ROUND(K31/'geg ZO'!N37,2)</f>
        <v>#DIV/0!</v>
      </c>
      <c r="L32" s="658" t="e">
        <f>ROUND(L31/'geg ZO'!O37,2)</f>
        <v>#DIV/0!</v>
      </c>
      <c r="M32" s="36"/>
      <c r="N32" s="6"/>
      <c r="O32" s="1265"/>
      <c r="P32" s="25"/>
    </row>
    <row r="33" spans="2:16" x14ac:dyDescent="0.2">
      <c r="B33" s="936"/>
      <c r="C33" s="1263"/>
      <c r="D33" s="199"/>
      <c r="E33" s="37"/>
      <c r="F33" s="35"/>
      <c r="G33" s="1260"/>
      <c r="H33" s="1260"/>
      <c r="I33" s="1260"/>
      <c r="J33" s="1260"/>
      <c r="K33" s="1260"/>
      <c r="L33" s="1260"/>
      <c r="M33" s="36"/>
      <c r="N33" s="6"/>
      <c r="O33" s="1265"/>
      <c r="P33" s="25"/>
    </row>
    <row r="34" spans="2:16" x14ac:dyDescent="0.2">
      <c r="B34" s="936"/>
      <c r="C34" s="1263"/>
      <c r="D34" s="621" t="s">
        <v>882</v>
      </c>
      <c r="E34" s="37"/>
      <c r="F34" s="35"/>
      <c r="G34" s="1547">
        <f>+'overdr VSO'!I21+'peild VSO'!G26</f>
        <v>0</v>
      </c>
      <c r="H34" s="1547">
        <f>+'overdr VSO'!J21+'peild VSO'!H26</f>
        <v>0</v>
      </c>
      <c r="I34" s="1547">
        <f>+'overdr VSO'!K21+'peild VSO'!I26</f>
        <v>0</v>
      </c>
      <c r="J34" s="1547">
        <f>+'overdr VSO'!L21+'peild VSO'!J26</f>
        <v>0</v>
      </c>
      <c r="K34" s="1547">
        <f>+'overdr VSO'!M21+'peild VSO'!K26</f>
        <v>0</v>
      </c>
      <c r="L34" s="1547">
        <f>+'overdr VSO'!N21+'peild VSO'!L26</f>
        <v>0</v>
      </c>
      <c r="M34" s="36"/>
      <c r="N34" s="6"/>
      <c r="O34" s="1265"/>
      <c r="P34" s="25"/>
    </row>
    <row r="35" spans="2:16" x14ac:dyDescent="0.2">
      <c r="B35" s="936"/>
      <c r="C35" s="1263"/>
      <c r="D35" s="621" t="s">
        <v>809</v>
      </c>
      <c r="E35" s="37"/>
      <c r="F35" s="35"/>
      <c r="G35" s="1262" t="e">
        <f>+G34/'geg ZO'!J$37</f>
        <v>#DIV/0!</v>
      </c>
      <c r="H35" s="1262" t="e">
        <f>+H34/'geg ZO'!K$37</f>
        <v>#DIV/0!</v>
      </c>
      <c r="I35" s="1262" t="e">
        <f>+I34/'geg ZO'!L$37</f>
        <v>#DIV/0!</v>
      </c>
      <c r="J35" s="1262" t="e">
        <f>+J34/'geg ZO'!M$37</f>
        <v>#DIV/0!</v>
      </c>
      <c r="K35" s="1262" t="e">
        <f>+K34/'geg ZO'!N$37</f>
        <v>#DIV/0!</v>
      </c>
      <c r="L35" s="1262" t="e">
        <f>+L34/'geg ZO'!O$37</f>
        <v>#DIV/0!</v>
      </c>
      <c r="M35" s="36"/>
      <c r="N35" s="6"/>
      <c r="O35" s="1265"/>
      <c r="P35" s="25"/>
    </row>
    <row r="36" spans="2:16" x14ac:dyDescent="0.2">
      <c r="B36" s="21"/>
      <c r="C36" s="35"/>
      <c r="D36" s="37"/>
      <c r="E36" s="37"/>
      <c r="F36" s="35"/>
      <c r="G36" s="410"/>
      <c r="H36" s="410"/>
      <c r="I36" s="410"/>
      <c r="J36" s="410"/>
      <c r="K36" s="410"/>
      <c r="L36" s="410"/>
      <c r="M36" s="36"/>
      <c r="N36" s="1266"/>
      <c r="O36" s="1267"/>
      <c r="P36" s="25"/>
    </row>
    <row r="37" spans="2:16" s="194" customFormat="1" ht="15.75" thickBot="1" x14ac:dyDescent="0.3">
      <c r="B37" s="944"/>
      <c r="C37" s="949"/>
      <c r="D37" s="1200"/>
      <c r="E37" s="1200"/>
      <c r="F37" s="949"/>
      <c r="G37" s="1201"/>
      <c r="H37" s="1201"/>
      <c r="I37" s="1201"/>
      <c r="J37" s="1201"/>
      <c r="K37" s="1201"/>
      <c r="L37" s="1201"/>
      <c r="M37" s="949"/>
      <c r="N37" s="946"/>
      <c r="O37" s="946"/>
      <c r="P37" s="945"/>
    </row>
    <row r="38" spans="2:16" s="194" customFormat="1" ht="15.75" thickTop="1" x14ac:dyDescent="0.25">
      <c r="B38" s="944"/>
      <c r="C38" s="1202"/>
      <c r="D38" s="1204"/>
      <c r="E38" s="1204"/>
      <c r="F38" s="1203"/>
      <c r="G38" s="1205"/>
      <c r="H38" s="1205"/>
      <c r="I38" s="1205"/>
      <c r="J38" s="1205"/>
      <c r="K38" s="1205"/>
      <c r="L38" s="1205"/>
      <c r="M38" s="1203"/>
      <c r="N38" s="1203"/>
      <c r="O38" s="1206"/>
      <c r="P38" s="945"/>
    </row>
    <row r="39" spans="2:16" s="194" customFormat="1" ht="15" x14ac:dyDescent="0.25">
      <c r="B39" s="944"/>
      <c r="C39" s="1207"/>
      <c r="D39" s="946" t="s">
        <v>621</v>
      </c>
      <c r="E39" s="947"/>
      <c r="F39" s="946"/>
      <c r="G39" s="948"/>
      <c r="H39" s="948"/>
      <c r="I39" s="948"/>
      <c r="J39" s="948"/>
      <c r="K39" s="948"/>
      <c r="L39" s="948"/>
      <c r="M39" s="946"/>
      <c r="N39" s="946"/>
      <c r="O39" s="1208"/>
      <c r="P39" s="945"/>
    </row>
    <row r="40" spans="2:16" s="194" customFormat="1" ht="15" x14ac:dyDescent="0.25">
      <c r="B40" s="944"/>
      <c r="C40" s="1207"/>
      <c r="D40" s="946" t="s">
        <v>909</v>
      </c>
      <c r="E40" s="947"/>
      <c r="F40" s="946"/>
      <c r="G40" s="948"/>
      <c r="H40" s="948"/>
      <c r="I40" s="948"/>
      <c r="J40" s="948"/>
      <c r="K40" s="948"/>
      <c r="L40" s="948"/>
      <c r="M40" s="946"/>
      <c r="N40" s="946"/>
      <c r="O40" s="1208"/>
      <c r="P40" s="945"/>
    </row>
    <row r="41" spans="2:16" s="194" customFormat="1" ht="15" x14ac:dyDescent="0.25">
      <c r="B41" s="944"/>
      <c r="C41" s="1207"/>
      <c r="D41" s="946" t="s">
        <v>910</v>
      </c>
      <c r="E41" s="947"/>
      <c r="F41" s="946"/>
      <c r="G41" s="948"/>
      <c r="H41" s="948"/>
      <c r="I41" s="948"/>
      <c r="J41" s="948"/>
      <c r="K41" s="948"/>
      <c r="L41" s="948"/>
      <c r="M41" s="946"/>
      <c r="N41" s="946"/>
      <c r="O41" s="1208"/>
      <c r="P41" s="945"/>
    </row>
    <row r="42" spans="2:16" s="194" customFormat="1" ht="15" x14ac:dyDescent="0.25">
      <c r="B42" s="944"/>
      <c r="C42" s="1207"/>
      <c r="D42" s="946" t="s">
        <v>622</v>
      </c>
      <c r="E42" s="947"/>
      <c r="F42" s="946"/>
      <c r="G42" s="948"/>
      <c r="H42" s="948"/>
      <c r="I42" s="948"/>
      <c r="J42" s="948"/>
      <c r="K42" s="948"/>
      <c r="L42" s="948"/>
      <c r="M42" s="946"/>
      <c r="N42" s="946"/>
      <c r="O42" s="1208"/>
      <c r="P42" s="945"/>
    </row>
    <row r="43" spans="2:16" s="194" customFormat="1" ht="15" x14ac:dyDescent="0.25">
      <c r="B43" s="944"/>
      <c r="C43" s="1207"/>
      <c r="D43" s="946" t="s">
        <v>884</v>
      </c>
      <c r="E43" s="947"/>
      <c r="F43" s="946"/>
      <c r="G43" s="948"/>
      <c r="H43" s="948"/>
      <c r="I43" s="948"/>
      <c r="J43" s="948"/>
      <c r="K43" s="948"/>
      <c r="L43" s="948"/>
      <c r="M43" s="946"/>
      <c r="N43" s="946"/>
      <c r="O43" s="1208"/>
      <c r="P43" s="945"/>
    </row>
    <row r="44" spans="2:16" s="194" customFormat="1" ht="15" x14ac:dyDescent="0.25">
      <c r="B44" s="944"/>
      <c r="C44" s="1207"/>
      <c r="D44" s="946"/>
      <c r="E44" s="947"/>
      <c r="F44" s="946"/>
      <c r="G44" s="948"/>
      <c r="H44" s="948"/>
      <c r="I44" s="948"/>
      <c r="J44" s="948"/>
      <c r="K44" s="948"/>
      <c r="L44" s="948"/>
      <c r="M44" s="946"/>
      <c r="N44" s="946"/>
      <c r="O44" s="1208"/>
      <c r="P44" s="945"/>
    </row>
    <row r="45" spans="2:16" s="194" customFormat="1" ht="15" x14ac:dyDescent="0.25">
      <c r="B45" s="944"/>
      <c r="C45" s="1207"/>
      <c r="D45" s="946" t="s">
        <v>811</v>
      </c>
      <c r="E45" s="947"/>
      <c r="F45" s="946"/>
      <c r="G45" s="948"/>
      <c r="H45" s="948"/>
      <c r="I45" s="948"/>
      <c r="J45" s="948"/>
      <c r="K45" s="948"/>
      <c r="L45" s="948"/>
      <c r="M45" s="946"/>
      <c r="N45" s="946"/>
      <c r="O45" s="1208"/>
      <c r="P45" s="945"/>
    </row>
    <row r="46" spans="2:16" s="194" customFormat="1" ht="15" x14ac:dyDescent="0.25">
      <c r="B46" s="944"/>
      <c r="C46" s="1207"/>
      <c r="D46" s="946" t="s">
        <v>812</v>
      </c>
      <c r="E46" s="947"/>
      <c r="F46" s="946"/>
      <c r="G46" s="948"/>
      <c r="H46" s="948"/>
      <c r="I46" s="948"/>
      <c r="J46" s="948"/>
      <c r="K46" s="948"/>
      <c r="L46" s="948"/>
      <c r="M46" s="946"/>
      <c r="N46" s="946"/>
      <c r="O46" s="1208"/>
      <c r="P46" s="945"/>
    </row>
    <row r="47" spans="2:16" s="194" customFormat="1" ht="15.75" thickBot="1" x14ac:dyDescent="0.3">
      <c r="B47" s="944"/>
      <c r="C47" s="1209"/>
      <c r="D47" s="1210"/>
      <c r="E47" s="1211"/>
      <c r="F47" s="1210"/>
      <c r="G47" s="1212"/>
      <c r="H47" s="1212"/>
      <c r="I47" s="1212"/>
      <c r="J47" s="1212"/>
      <c r="K47" s="1212"/>
      <c r="L47" s="1212"/>
      <c r="M47" s="1210"/>
      <c r="N47" s="1210"/>
      <c r="O47" s="1213"/>
      <c r="P47" s="945"/>
    </row>
    <row r="48" spans="2:16" ht="13.5" thickTop="1" x14ac:dyDescent="0.2">
      <c r="B48" s="21"/>
      <c r="C48" s="22"/>
      <c r="D48" s="23"/>
      <c r="E48" s="23"/>
      <c r="F48" s="22"/>
      <c r="G48" s="161"/>
      <c r="H48" s="161"/>
      <c r="I48" s="161"/>
      <c r="J48" s="161"/>
      <c r="K48" s="161"/>
      <c r="L48" s="161"/>
      <c r="M48" s="161"/>
      <c r="N48" s="161"/>
      <c r="O48" s="22"/>
      <c r="P48" s="25"/>
    </row>
    <row r="49" spans="2:30" x14ac:dyDescent="0.2">
      <c r="B49" s="183"/>
      <c r="C49" s="163"/>
      <c r="D49" s="575"/>
      <c r="E49" s="575"/>
      <c r="F49" s="163"/>
      <c r="G49" s="164"/>
      <c r="H49" s="164"/>
      <c r="I49" s="164"/>
      <c r="J49" s="164"/>
      <c r="K49" s="164"/>
      <c r="L49" s="164"/>
      <c r="M49" s="164"/>
      <c r="N49" s="164"/>
      <c r="O49" s="163"/>
      <c r="P49" s="185"/>
    </row>
    <row r="50" spans="2:30" x14ac:dyDescent="0.2">
      <c r="B50" s="6"/>
      <c r="C50" s="6"/>
      <c r="D50" s="6"/>
      <c r="E50" s="6"/>
      <c r="F50" s="6"/>
      <c r="G50" s="6"/>
      <c r="H50" s="399"/>
      <c r="I50" s="399"/>
      <c r="J50" s="399"/>
      <c r="K50" s="399"/>
      <c r="L50" s="399"/>
      <c r="M50" s="399"/>
      <c r="N50" s="399"/>
      <c r="O50" s="6"/>
      <c r="P50" s="6"/>
      <c r="Q50" s="6"/>
      <c r="R50" s="6"/>
    </row>
    <row r="51" spans="2:30" x14ac:dyDescent="0.2">
      <c r="B51" s="6"/>
      <c r="C51" s="6"/>
      <c r="D51" s="6"/>
      <c r="E51" s="6"/>
      <c r="F51" s="6"/>
      <c r="G51" s="6"/>
      <c r="H51" s="399"/>
      <c r="I51" s="399"/>
      <c r="J51" s="399"/>
      <c r="K51" s="399"/>
      <c r="L51" s="399"/>
      <c r="M51" s="399"/>
      <c r="N51" s="399"/>
      <c r="O51" s="6"/>
      <c r="P51" s="6"/>
      <c r="Q51" s="6"/>
      <c r="R51" s="6"/>
    </row>
    <row r="52" spans="2:30" x14ac:dyDescent="0.2">
      <c r="B52" s="6"/>
      <c r="C52" s="6"/>
      <c r="D52" s="6"/>
      <c r="E52" s="6"/>
      <c r="F52" s="6"/>
      <c r="G52" s="6"/>
      <c r="H52" s="399"/>
      <c r="I52" s="399"/>
      <c r="J52" s="399"/>
      <c r="K52" s="399"/>
      <c r="L52" s="399"/>
      <c r="M52" s="399"/>
      <c r="N52" s="399"/>
      <c r="O52" s="6"/>
      <c r="P52" s="6"/>
      <c r="Q52" s="6"/>
      <c r="R52" s="6"/>
    </row>
    <row r="53" spans="2:30" x14ac:dyDescent="0.2">
      <c r="B53" s="6"/>
      <c r="C53" s="6"/>
      <c r="D53" s="6"/>
      <c r="E53" s="6"/>
      <c r="F53" s="6"/>
      <c r="G53" s="6"/>
      <c r="H53" s="399"/>
      <c r="I53" s="399"/>
      <c r="J53" s="399"/>
      <c r="K53" s="399"/>
      <c r="L53" s="399"/>
      <c r="M53" s="399"/>
      <c r="N53" s="399"/>
      <c r="O53" s="6"/>
      <c r="P53" s="6"/>
      <c r="Q53" s="6"/>
      <c r="R53" s="6"/>
      <c r="S53" s="6"/>
      <c r="T53" s="6"/>
      <c r="U53" s="6"/>
      <c r="V53" s="6"/>
      <c r="W53" s="6"/>
      <c r="X53" s="399"/>
      <c r="Y53" s="399"/>
      <c r="Z53" s="399"/>
      <c r="AA53" s="399"/>
      <c r="AB53" s="399"/>
      <c r="AC53" s="6"/>
      <c r="AD53" s="6"/>
    </row>
    <row r="54" spans="2:30" x14ac:dyDescent="0.2">
      <c r="B54" s="6"/>
      <c r="C54" s="6"/>
      <c r="D54" s="6"/>
      <c r="E54" s="6"/>
      <c r="F54" s="6"/>
      <c r="G54" s="6"/>
      <c r="H54" s="399"/>
      <c r="I54" s="399"/>
      <c r="J54" s="399"/>
      <c r="K54" s="399"/>
      <c r="L54" s="399"/>
      <c r="M54" s="399"/>
      <c r="N54" s="399"/>
      <c r="O54" s="6"/>
      <c r="P54" s="6"/>
      <c r="Q54" s="6"/>
      <c r="R54" s="6"/>
    </row>
    <row r="55" spans="2:30" x14ac:dyDescent="0.2">
      <c r="B55" s="6"/>
      <c r="C55" s="6"/>
      <c r="D55" s="6"/>
      <c r="E55" s="6"/>
      <c r="F55" s="6"/>
      <c r="G55" s="6"/>
      <c r="H55" s="399"/>
      <c r="I55" s="399"/>
      <c r="J55" s="399"/>
      <c r="K55" s="399"/>
      <c r="L55" s="399"/>
      <c r="M55" s="399"/>
      <c r="N55" s="399"/>
      <c r="O55" s="6"/>
      <c r="P55" s="6"/>
      <c r="Q55" s="6"/>
      <c r="R55" s="6"/>
    </row>
    <row r="56" spans="2:30" x14ac:dyDescent="0.2">
      <c r="B56" s="6"/>
      <c r="C56" s="6"/>
      <c r="D56" s="6"/>
      <c r="E56" s="6"/>
      <c r="F56" s="6"/>
      <c r="G56" s="6"/>
      <c r="H56" s="399"/>
      <c r="I56" s="399"/>
      <c r="J56" s="399"/>
      <c r="K56" s="399"/>
      <c r="L56" s="399"/>
      <c r="M56" s="399"/>
      <c r="N56" s="399"/>
      <c r="O56" s="6"/>
      <c r="P56" s="6"/>
      <c r="Q56" s="6"/>
      <c r="R56" s="6"/>
    </row>
    <row r="57" spans="2:30" x14ac:dyDescent="0.2">
      <c r="B57" s="6"/>
      <c r="C57" s="6"/>
      <c r="D57" s="6"/>
      <c r="E57" s="6"/>
      <c r="F57" s="6"/>
      <c r="G57" s="6"/>
      <c r="H57" s="399"/>
      <c r="I57" s="399"/>
      <c r="J57" s="399"/>
      <c r="K57" s="399"/>
      <c r="L57" s="399"/>
      <c r="M57" s="399"/>
      <c r="N57" s="399"/>
      <c r="O57" s="6"/>
      <c r="P57" s="6"/>
      <c r="Q57" s="6"/>
      <c r="R57" s="6"/>
    </row>
    <row r="58" spans="2:30" x14ac:dyDescent="0.2">
      <c r="B58" s="6"/>
      <c r="C58" s="6"/>
      <c r="D58" s="6"/>
      <c r="E58" s="6"/>
      <c r="F58" s="6"/>
      <c r="G58" s="6"/>
      <c r="H58" s="399"/>
      <c r="I58" s="399"/>
      <c r="J58" s="399"/>
      <c r="K58" s="399"/>
      <c r="L58" s="399"/>
      <c r="M58" s="399"/>
      <c r="N58" s="399"/>
      <c r="O58" s="6"/>
      <c r="P58" s="6"/>
      <c r="Q58" s="6"/>
      <c r="R58" s="6"/>
    </row>
    <row r="59" spans="2:30" x14ac:dyDescent="0.2">
      <c r="B59" s="6"/>
      <c r="C59" s="6"/>
      <c r="D59" s="6"/>
      <c r="E59" s="6"/>
      <c r="F59" s="6"/>
      <c r="G59" s="6"/>
      <c r="H59" s="399"/>
      <c r="I59" s="399"/>
      <c r="J59" s="399"/>
      <c r="K59" s="399"/>
      <c r="L59" s="399"/>
      <c r="M59" s="399"/>
      <c r="N59" s="399"/>
      <c r="O59" s="6"/>
      <c r="P59" s="6"/>
      <c r="Q59" s="6"/>
      <c r="R59" s="6"/>
    </row>
    <row r="60" spans="2:30" x14ac:dyDescent="0.2">
      <c r="B60" s="6"/>
      <c r="C60" s="6"/>
      <c r="D60" s="6"/>
      <c r="E60" s="6"/>
      <c r="F60" s="6"/>
      <c r="G60" s="6"/>
      <c r="H60" s="399"/>
      <c r="I60" s="399"/>
      <c r="J60" s="399"/>
      <c r="K60" s="399"/>
      <c r="L60" s="399"/>
      <c r="M60" s="399"/>
      <c r="N60" s="399"/>
      <c r="O60" s="6"/>
      <c r="P60" s="6"/>
      <c r="Q60" s="6"/>
      <c r="R60" s="6"/>
    </row>
    <row r="61" spans="2:30" x14ac:dyDescent="0.2">
      <c r="B61" s="6"/>
      <c r="C61" s="6"/>
      <c r="D61" s="6"/>
      <c r="E61" s="6"/>
      <c r="F61" s="6"/>
      <c r="G61" s="6"/>
      <c r="H61" s="399"/>
      <c r="I61" s="399"/>
      <c r="J61" s="399"/>
      <c r="K61" s="399"/>
      <c r="L61" s="399"/>
      <c r="M61" s="399"/>
      <c r="N61" s="399"/>
      <c r="O61" s="6"/>
      <c r="P61" s="6"/>
      <c r="Q61" s="6"/>
      <c r="R61" s="6"/>
    </row>
    <row r="62" spans="2:30" x14ac:dyDescent="0.2">
      <c r="B62" s="6"/>
      <c r="C62" s="6"/>
      <c r="D62" s="6"/>
      <c r="E62" s="6"/>
      <c r="F62" s="6"/>
      <c r="G62" s="6"/>
      <c r="H62" s="399"/>
      <c r="I62" s="399"/>
      <c r="J62" s="399"/>
      <c r="K62" s="399"/>
      <c r="L62" s="399"/>
      <c r="M62" s="399"/>
      <c r="N62" s="399"/>
      <c r="O62" s="6"/>
      <c r="P62" s="6"/>
      <c r="Q62" s="6"/>
      <c r="R62" s="6"/>
    </row>
    <row r="63" spans="2:30" x14ac:dyDescent="0.2">
      <c r="B63" s="6"/>
      <c r="C63" s="6"/>
      <c r="D63" s="6"/>
      <c r="E63" s="6"/>
      <c r="F63" s="6"/>
      <c r="G63" s="6"/>
      <c r="H63" s="399"/>
      <c r="I63" s="399"/>
      <c r="J63" s="399"/>
      <c r="K63" s="399"/>
      <c r="L63" s="399"/>
      <c r="M63" s="399"/>
      <c r="N63" s="399"/>
      <c r="O63" s="6"/>
      <c r="P63" s="6"/>
      <c r="Q63" s="6"/>
      <c r="R63" s="6"/>
    </row>
    <row r="64" spans="2:30" x14ac:dyDescent="0.2">
      <c r="B64" s="6"/>
      <c r="C64" s="6"/>
      <c r="D64" s="6"/>
      <c r="E64" s="6"/>
      <c r="F64" s="6"/>
      <c r="G64" s="6"/>
      <c r="H64" s="399"/>
      <c r="I64" s="399"/>
      <c r="J64" s="399"/>
      <c r="K64" s="399"/>
      <c r="L64" s="399"/>
      <c r="M64" s="399"/>
      <c r="N64" s="399"/>
      <c r="O64" s="6"/>
      <c r="P64" s="6"/>
      <c r="Q64" s="6"/>
      <c r="R64" s="6"/>
    </row>
    <row r="65" spans="2:18" x14ac:dyDescent="0.2">
      <c r="B65" s="6"/>
      <c r="C65" s="6"/>
      <c r="D65" s="6"/>
      <c r="E65" s="6"/>
      <c r="F65" s="6"/>
      <c r="G65" s="6"/>
      <c r="H65" s="399"/>
      <c r="I65" s="399"/>
      <c r="J65" s="399"/>
      <c r="K65" s="399"/>
      <c r="L65" s="399"/>
      <c r="M65" s="399"/>
      <c r="N65" s="399"/>
      <c r="O65" s="6"/>
      <c r="P65" s="6"/>
      <c r="Q65" s="6"/>
      <c r="R65" s="6"/>
    </row>
    <row r="66" spans="2:18" x14ac:dyDescent="0.2">
      <c r="B66" s="6"/>
      <c r="C66" s="6"/>
      <c r="D66" s="6"/>
      <c r="E66" s="6"/>
      <c r="F66" s="6"/>
      <c r="G66" s="6"/>
      <c r="H66" s="399"/>
      <c r="I66" s="399"/>
      <c r="J66" s="399"/>
      <c r="K66" s="399"/>
      <c r="L66" s="399"/>
      <c r="M66" s="399"/>
      <c r="N66" s="399"/>
      <c r="O66" s="6"/>
      <c r="P66" s="6"/>
      <c r="Q66" s="6"/>
      <c r="R66" s="6"/>
    </row>
    <row r="67" spans="2:18" x14ac:dyDescent="0.2">
      <c r="B67" s="6"/>
      <c r="C67" s="6"/>
      <c r="D67" s="6"/>
      <c r="E67" s="6"/>
      <c r="F67" s="6"/>
      <c r="G67" s="6"/>
      <c r="H67" s="399"/>
      <c r="I67" s="399"/>
      <c r="J67" s="399"/>
      <c r="K67" s="399"/>
      <c r="L67" s="399"/>
      <c r="M67" s="399"/>
      <c r="N67" s="399"/>
      <c r="O67" s="6"/>
      <c r="P67" s="6"/>
      <c r="Q67" s="6"/>
      <c r="R67" s="6"/>
    </row>
    <row r="68" spans="2:18" x14ac:dyDescent="0.2">
      <c r="B68" s="6"/>
      <c r="C68" s="6"/>
      <c r="D68" s="6"/>
      <c r="E68" s="6"/>
      <c r="F68" s="6"/>
      <c r="G68" s="6"/>
      <c r="H68" s="399"/>
      <c r="I68" s="399"/>
      <c r="J68" s="399"/>
      <c r="K68" s="399"/>
      <c r="L68" s="399"/>
      <c r="M68" s="399"/>
      <c r="N68" s="399"/>
      <c r="O68" s="6"/>
      <c r="P68" s="6"/>
      <c r="Q68" s="6"/>
      <c r="R68" s="6"/>
    </row>
    <row r="69" spans="2:18" x14ac:dyDescent="0.2">
      <c r="B69" s="6"/>
      <c r="C69" s="6"/>
      <c r="D69" s="6"/>
      <c r="E69" s="6"/>
      <c r="F69" s="6"/>
      <c r="G69" s="6"/>
      <c r="H69" s="399"/>
      <c r="I69" s="399"/>
      <c r="J69" s="399"/>
      <c r="K69" s="399"/>
      <c r="L69" s="399"/>
      <c r="M69" s="399"/>
      <c r="N69" s="399"/>
      <c r="O69" s="6"/>
      <c r="P69" s="6"/>
      <c r="Q69" s="6"/>
      <c r="R69" s="6"/>
    </row>
    <row r="70" spans="2:18" x14ac:dyDescent="0.2">
      <c r="B70" s="6"/>
      <c r="C70" s="6"/>
      <c r="D70" s="6"/>
      <c r="E70" s="6"/>
      <c r="F70" s="6"/>
      <c r="G70" s="6"/>
      <c r="H70" s="399"/>
      <c r="I70" s="399"/>
      <c r="J70" s="399"/>
      <c r="K70" s="399"/>
      <c r="L70" s="399"/>
      <c r="M70" s="399"/>
      <c r="N70" s="399"/>
      <c r="O70" s="6"/>
      <c r="P70" s="6"/>
      <c r="Q70" s="6"/>
      <c r="R70" s="6"/>
    </row>
    <row r="71" spans="2:18" x14ac:dyDescent="0.2">
      <c r="B71" s="6"/>
      <c r="C71" s="6"/>
      <c r="D71" s="6"/>
      <c r="E71" s="6"/>
      <c r="F71" s="6"/>
      <c r="G71" s="6"/>
      <c r="H71" s="399"/>
      <c r="I71" s="399"/>
      <c r="J71" s="399"/>
      <c r="K71" s="399"/>
      <c r="L71" s="399"/>
      <c r="M71" s="399"/>
      <c r="N71" s="399"/>
      <c r="O71" s="6"/>
      <c r="P71" s="6"/>
      <c r="Q71" s="6"/>
      <c r="R71" s="6"/>
    </row>
    <row r="72" spans="2:18" x14ac:dyDescent="0.2">
      <c r="B72" s="6"/>
      <c r="C72" s="6"/>
      <c r="D72" s="6"/>
      <c r="E72" s="6"/>
      <c r="F72" s="6"/>
      <c r="G72" s="6"/>
      <c r="H72" s="399"/>
      <c r="I72" s="399"/>
      <c r="J72" s="399"/>
      <c r="K72" s="399"/>
      <c r="L72" s="399"/>
      <c r="M72" s="399"/>
      <c r="N72" s="399"/>
      <c r="O72" s="6"/>
      <c r="P72" s="6"/>
      <c r="Q72" s="6"/>
      <c r="R72" s="6"/>
    </row>
    <row r="73" spans="2:18" x14ac:dyDescent="0.2">
      <c r="B73" s="6"/>
      <c r="C73" s="6"/>
      <c r="D73" s="6"/>
      <c r="E73" s="6"/>
      <c r="F73" s="6"/>
      <c r="G73" s="6"/>
      <c r="H73" s="399"/>
      <c r="I73" s="399"/>
      <c r="J73" s="399"/>
      <c r="K73" s="399"/>
      <c r="L73" s="399"/>
      <c r="M73" s="399"/>
      <c r="N73" s="399"/>
      <c r="O73" s="6"/>
      <c r="P73" s="6"/>
      <c r="Q73" s="6"/>
      <c r="R73" s="6"/>
    </row>
    <row r="74" spans="2:18" x14ac:dyDescent="0.2">
      <c r="B74" s="6"/>
      <c r="C74" s="6"/>
      <c r="D74" s="6"/>
      <c r="E74" s="6"/>
      <c r="F74" s="6"/>
      <c r="G74" s="6"/>
      <c r="H74" s="399"/>
      <c r="I74" s="399"/>
      <c r="J74" s="399"/>
      <c r="K74" s="399"/>
      <c r="L74" s="399"/>
      <c r="M74" s="399"/>
      <c r="N74" s="399"/>
      <c r="O74" s="6"/>
      <c r="P74" s="6"/>
      <c r="Q74" s="6"/>
      <c r="R74" s="6"/>
    </row>
    <row r="75" spans="2:18" x14ac:dyDescent="0.2">
      <c r="B75" s="6"/>
      <c r="C75" s="6"/>
      <c r="D75" s="6"/>
      <c r="E75" s="6"/>
      <c r="F75" s="6"/>
      <c r="G75" s="6"/>
      <c r="H75" s="399"/>
      <c r="I75" s="399"/>
      <c r="J75" s="399"/>
      <c r="K75" s="399"/>
      <c r="L75" s="399"/>
      <c r="M75" s="399"/>
      <c r="N75" s="399"/>
      <c r="O75" s="6"/>
      <c r="P75" s="6"/>
      <c r="Q75" s="6"/>
      <c r="R75" s="6"/>
    </row>
    <row r="76" spans="2:18" x14ac:dyDescent="0.2">
      <c r="B76" s="6"/>
      <c r="C76" s="6"/>
      <c r="D76" s="6"/>
      <c r="E76" s="6"/>
      <c r="F76" s="6"/>
      <c r="G76" s="6"/>
      <c r="H76" s="399"/>
      <c r="I76" s="399"/>
      <c r="J76" s="399"/>
      <c r="K76" s="399"/>
      <c r="L76" s="399"/>
      <c r="M76" s="399"/>
      <c r="N76" s="399"/>
      <c r="O76" s="6"/>
      <c r="P76" s="6"/>
      <c r="Q76" s="6"/>
      <c r="R76" s="6"/>
    </row>
    <row r="77" spans="2:18" x14ac:dyDescent="0.2">
      <c r="B77" s="6"/>
      <c r="C77" s="6"/>
      <c r="D77" s="6"/>
      <c r="E77" s="6"/>
      <c r="F77" s="6"/>
      <c r="G77" s="6"/>
      <c r="H77" s="399"/>
      <c r="I77" s="399"/>
      <c r="J77" s="399"/>
      <c r="K77" s="399"/>
      <c r="L77" s="399"/>
      <c r="M77" s="399"/>
      <c r="N77" s="399"/>
      <c r="O77" s="6"/>
      <c r="P77" s="6"/>
      <c r="Q77" s="6"/>
      <c r="R77" s="6"/>
    </row>
    <row r="78" spans="2:18" x14ac:dyDescent="0.2">
      <c r="B78" s="6"/>
      <c r="C78" s="6"/>
      <c r="D78" s="6"/>
      <c r="E78" s="6"/>
      <c r="F78" s="6"/>
      <c r="G78" s="6"/>
      <c r="H78" s="399"/>
      <c r="I78" s="399"/>
      <c r="J78" s="399"/>
      <c r="K78" s="399"/>
      <c r="L78" s="399"/>
      <c r="M78" s="399"/>
      <c r="N78" s="399"/>
      <c r="O78" s="6"/>
      <c r="P78" s="6"/>
      <c r="Q78" s="6"/>
      <c r="R78" s="6"/>
    </row>
    <row r="79" spans="2:18" x14ac:dyDescent="0.2">
      <c r="B79" s="6"/>
      <c r="C79" s="6"/>
      <c r="D79" s="6"/>
      <c r="E79" s="6"/>
      <c r="F79" s="6"/>
      <c r="G79" s="6"/>
      <c r="H79" s="399"/>
      <c r="I79" s="399"/>
      <c r="J79" s="399"/>
      <c r="K79" s="399"/>
      <c r="L79" s="399"/>
      <c r="M79" s="399"/>
      <c r="N79" s="399"/>
      <c r="O79" s="6"/>
      <c r="P79" s="6"/>
      <c r="Q79" s="6"/>
      <c r="R79" s="6"/>
    </row>
    <row r="80" spans="2:18" x14ac:dyDescent="0.2">
      <c r="B80" s="6"/>
      <c r="C80" s="6"/>
      <c r="D80" s="6"/>
      <c r="E80" s="6"/>
      <c r="F80" s="6"/>
      <c r="G80" s="6"/>
      <c r="H80" s="399"/>
      <c r="I80" s="399"/>
      <c r="J80" s="399"/>
      <c r="K80" s="399"/>
      <c r="L80" s="399"/>
      <c r="M80" s="399"/>
      <c r="N80" s="399"/>
      <c r="O80" s="6"/>
      <c r="P80" s="6"/>
      <c r="Q80" s="6"/>
      <c r="R80" s="6"/>
    </row>
    <row r="81" spans="2:18" x14ac:dyDescent="0.2">
      <c r="B81" s="6"/>
      <c r="C81" s="6"/>
      <c r="D81" s="6"/>
      <c r="E81" s="6"/>
      <c r="F81" s="6"/>
      <c r="G81" s="6"/>
      <c r="H81" s="399"/>
      <c r="I81" s="399"/>
      <c r="J81" s="399"/>
      <c r="K81" s="399"/>
      <c r="L81" s="399"/>
      <c r="M81" s="399"/>
      <c r="N81" s="399"/>
      <c r="O81" s="6"/>
      <c r="P81" s="6"/>
      <c r="Q81" s="6"/>
      <c r="R81" s="6"/>
    </row>
    <row r="82" spans="2:18" x14ac:dyDescent="0.2">
      <c r="B82" s="6"/>
      <c r="C82" s="6"/>
      <c r="D82" s="6"/>
      <c r="E82" s="6"/>
      <c r="F82" s="6"/>
      <c r="G82" s="6"/>
      <c r="H82" s="399"/>
      <c r="I82" s="399"/>
      <c r="J82" s="399"/>
      <c r="K82" s="399"/>
      <c r="L82" s="399"/>
      <c r="M82" s="399"/>
      <c r="N82" s="399"/>
      <c r="O82" s="6"/>
      <c r="P82" s="6"/>
      <c r="Q82" s="6"/>
      <c r="R82" s="6"/>
    </row>
    <row r="83" spans="2:18" x14ac:dyDescent="0.2">
      <c r="B83" s="6"/>
      <c r="C83" s="6"/>
      <c r="D83" s="6"/>
      <c r="E83" s="6"/>
      <c r="F83" s="6"/>
      <c r="G83" s="6"/>
      <c r="H83" s="399"/>
      <c r="I83" s="399"/>
      <c r="J83" s="399"/>
      <c r="K83" s="399"/>
      <c r="L83" s="399"/>
      <c r="M83" s="399"/>
      <c r="N83" s="399"/>
      <c r="O83" s="6"/>
      <c r="P83" s="6"/>
      <c r="Q83" s="6"/>
      <c r="R83" s="6"/>
    </row>
    <row r="84" spans="2:18" x14ac:dyDescent="0.2">
      <c r="B84" s="6"/>
      <c r="C84" s="6"/>
      <c r="D84" s="6"/>
      <c r="E84" s="6"/>
      <c r="F84" s="6"/>
      <c r="G84" s="6"/>
      <c r="H84" s="399"/>
      <c r="I84" s="399"/>
      <c r="J84" s="399"/>
      <c r="K84" s="399"/>
      <c r="L84" s="399"/>
      <c r="M84" s="399"/>
      <c r="N84" s="399"/>
      <c r="O84" s="6"/>
      <c r="P84" s="6"/>
      <c r="Q84" s="6"/>
      <c r="R84" s="6"/>
    </row>
    <row r="85" spans="2:18" x14ac:dyDescent="0.2">
      <c r="B85" s="6"/>
      <c r="C85" s="6"/>
      <c r="D85" s="6"/>
      <c r="E85" s="6"/>
      <c r="F85" s="6"/>
      <c r="G85" s="6"/>
      <c r="H85" s="399"/>
      <c r="I85" s="399"/>
      <c r="J85" s="399"/>
      <c r="K85" s="399"/>
      <c r="L85" s="399"/>
      <c r="M85" s="399"/>
      <c r="N85" s="399"/>
      <c r="O85" s="6"/>
      <c r="P85" s="6"/>
      <c r="Q85" s="6"/>
      <c r="R85" s="6"/>
    </row>
    <row r="86" spans="2:18" x14ac:dyDescent="0.2">
      <c r="B86" s="6"/>
      <c r="C86" s="6"/>
      <c r="D86" s="6"/>
      <c r="E86" s="6"/>
      <c r="F86" s="6"/>
      <c r="G86" s="6"/>
      <c r="H86" s="399"/>
      <c r="I86" s="399"/>
      <c r="J86" s="399"/>
      <c r="K86" s="399"/>
      <c r="L86" s="399"/>
      <c r="M86" s="399"/>
      <c r="N86" s="399"/>
      <c r="O86" s="6"/>
      <c r="P86" s="6"/>
      <c r="Q86" s="6"/>
      <c r="R86" s="6"/>
    </row>
    <row r="87" spans="2:18" x14ac:dyDescent="0.2">
      <c r="B87" s="6"/>
      <c r="C87" s="6"/>
      <c r="D87" s="6"/>
      <c r="E87" s="6"/>
      <c r="F87" s="6"/>
      <c r="G87" s="6"/>
      <c r="H87" s="399"/>
      <c r="I87" s="399"/>
      <c r="J87" s="399"/>
      <c r="K87" s="399"/>
      <c r="L87" s="399"/>
      <c r="M87" s="399"/>
      <c r="N87" s="399"/>
      <c r="O87" s="6"/>
      <c r="P87" s="6"/>
      <c r="Q87" s="6"/>
      <c r="R87" s="6"/>
    </row>
    <row r="88" spans="2:18" x14ac:dyDescent="0.2">
      <c r="B88" s="6"/>
      <c r="C88" s="6"/>
      <c r="D88" s="6"/>
      <c r="E88" s="6"/>
      <c r="F88" s="6"/>
      <c r="G88" s="6"/>
      <c r="H88" s="399"/>
      <c r="I88" s="399"/>
      <c r="J88" s="399"/>
      <c r="K88" s="399"/>
      <c r="L88" s="399"/>
      <c r="M88" s="399"/>
      <c r="N88" s="399"/>
      <c r="O88" s="6"/>
      <c r="P88" s="6"/>
      <c r="Q88" s="6"/>
      <c r="R88" s="6"/>
    </row>
    <row r="89" spans="2:18" x14ac:dyDescent="0.2">
      <c r="B89" s="6"/>
      <c r="C89" s="6"/>
      <c r="D89" s="6"/>
      <c r="E89" s="6"/>
      <c r="F89" s="6"/>
      <c r="G89" s="6"/>
      <c r="H89" s="399"/>
      <c r="I89" s="399"/>
      <c r="J89" s="399"/>
      <c r="K89" s="399"/>
      <c r="L89" s="399"/>
      <c r="M89" s="399"/>
      <c r="N89" s="399"/>
      <c r="O89" s="6"/>
      <c r="P89" s="6"/>
      <c r="Q89" s="6"/>
      <c r="R89" s="6"/>
    </row>
    <row r="90" spans="2:18" x14ac:dyDescent="0.2">
      <c r="B90" s="6"/>
      <c r="C90" s="6"/>
      <c r="D90" s="6"/>
      <c r="E90" s="6"/>
      <c r="F90" s="6"/>
      <c r="G90" s="6"/>
      <c r="H90" s="399"/>
      <c r="I90" s="399"/>
      <c r="J90" s="399"/>
      <c r="K90" s="399"/>
      <c r="L90" s="399"/>
      <c r="M90" s="399"/>
      <c r="N90" s="399"/>
      <c r="O90" s="6"/>
      <c r="P90" s="6"/>
      <c r="Q90" s="6"/>
      <c r="R90" s="6"/>
    </row>
    <row r="91" spans="2:18" x14ac:dyDescent="0.2">
      <c r="B91" s="6"/>
      <c r="C91" s="6"/>
      <c r="D91" s="6"/>
      <c r="E91" s="6"/>
      <c r="F91" s="6"/>
      <c r="G91" s="6"/>
      <c r="H91" s="399"/>
      <c r="I91" s="399"/>
      <c r="J91" s="399"/>
      <c r="K91" s="399"/>
      <c r="L91" s="399"/>
      <c r="M91" s="399"/>
      <c r="N91" s="399"/>
      <c r="O91" s="6"/>
      <c r="P91" s="6"/>
      <c r="Q91" s="6"/>
      <c r="R91" s="6"/>
    </row>
    <row r="92" spans="2:18" x14ac:dyDescent="0.2">
      <c r="B92" s="6"/>
      <c r="C92" s="6"/>
      <c r="D92" s="6"/>
      <c r="E92" s="6"/>
      <c r="F92" s="6"/>
      <c r="G92" s="6"/>
      <c r="H92" s="399"/>
      <c r="I92" s="399"/>
      <c r="J92" s="399"/>
      <c r="K92" s="399"/>
      <c r="L92" s="399"/>
      <c r="M92" s="399"/>
      <c r="N92" s="399"/>
      <c r="O92" s="6"/>
      <c r="P92" s="6"/>
      <c r="Q92" s="6"/>
      <c r="R92" s="6"/>
    </row>
    <row r="93" spans="2:18" x14ac:dyDescent="0.2">
      <c r="B93" s="6"/>
      <c r="C93" s="6"/>
      <c r="D93" s="6"/>
      <c r="E93" s="6"/>
      <c r="F93" s="6"/>
      <c r="G93" s="6"/>
      <c r="H93" s="399"/>
      <c r="I93" s="399"/>
      <c r="J93" s="399"/>
      <c r="K93" s="399"/>
      <c r="L93" s="399"/>
      <c r="M93" s="399"/>
      <c r="N93" s="399"/>
      <c r="O93" s="6"/>
      <c r="P93" s="6"/>
      <c r="Q93" s="6"/>
      <c r="R93" s="6"/>
    </row>
    <row r="94" spans="2:18" x14ac:dyDescent="0.2">
      <c r="B94" s="6"/>
      <c r="C94" s="6"/>
      <c r="D94" s="6"/>
      <c r="E94" s="6"/>
      <c r="F94" s="6"/>
      <c r="G94" s="6"/>
      <c r="H94" s="399"/>
      <c r="I94" s="399"/>
      <c r="J94" s="399"/>
      <c r="K94" s="399"/>
      <c r="L94" s="399"/>
      <c r="M94" s="399"/>
      <c r="N94" s="399"/>
      <c r="O94" s="6"/>
      <c r="P94" s="6"/>
      <c r="Q94" s="6"/>
      <c r="R94" s="6"/>
    </row>
    <row r="95" spans="2:18" x14ac:dyDescent="0.2">
      <c r="B95" s="6"/>
      <c r="C95" s="6"/>
      <c r="D95" s="6"/>
      <c r="E95" s="6"/>
      <c r="F95" s="6"/>
      <c r="G95" s="6"/>
      <c r="H95" s="399"/>
      <c r="I95" s="399"/>
      <c r="J95" s="399"/>
      <c r="K95" s="399"/>
      <c r="L95" s="399"/>
      <c r="M95" s="399"/>
      <c r="N95" s="399"/>
      <c r="O95" s="6"/>
      <c r="P95" s="6"/>
      <c r="Q95" s="6"/>
      <c r="R95" s="6"/>
    </row>
    <row r="96" spans="2:18" x14ac:dyDescent="0.2">
      <c r="B96" s="6"/>
      <c r="C96" s="6"/>
      <c r="D96" s="6"/>
      <c r="E96" s="6"/>
      <c r="F96" s="6"/>
      <c r="G96" s="6"/>
      <c r="H96" s="399"/>
      <c r="I96" s="399"/>
      <c r="J96" s="399"/>
      <c r="K96" s="399"/>
      <c r="L96" s="399"/>
      <c r="M96" s="399"/>
      <c r="N96" s="399"/>
      <c r="O96" s="6"/>
      <c r="P96" s="6"/>
      <c r="Q96" s="6"/>
      <c r="R96" s="6"/>
    </row>
    <row r="97" spans="2:18" x14ac:dyDescent="0.2">
      <c r="B97" s="6"/>
      <c r="C97" s="6"/>
      <c r="D97" s="6"/>
      <c r="E97" s="6"/>
      <c r="F97" s="6"/>
      <c r="G97" s="6"/>
      <c r="H97" s="399"/>
      <c r="I97" s="399"/>
      <c r="J97" s="399"/>
      <c r="K97" s="399"/>
      <c r="L97" s="399"/>
      <c r="M97" s="399"/>
      <c r="N97" s="399"/>
      <c r="O97" s="6"/>
      <c r="P97" s="6"/>
      <c r="Q97" s="6"/>
      <c r="R97" s="6"/>
    </row>
    <row r="98" spans="2:18" x14ac:dyDescent="0.2">
      <c r="B98" s="6"/>
      <c r="C98" s="6"/>
      <c r="D98" s="6"/>
      <c r="E98" s="6"/>
      <c r="F98" s="6"/>
      <c r="G98" s="6"/>
      <c r="H98" s="399"/>
      <c r="I98" s="399"/>
      <c r="J98" s="399"/>
      <c r="K98" s="399"/>
      <c r="L98" s="399"/>
      <c r="M98" s="399"/>
      <c r="N98" s="399"/>
      <c r="O98" s="6"/>
      <c r="P98" s="6"/>
      <c r="Q98" s="6"/>
      <c r="R98" s="6"/>
    </row>
    <row r="99" spans="2:18" x14ac:dyDescent="0.2">
      <c r="B99" s="6"/>
      <c r="C99" s="6"/>
      <c r="D99" s="6"/>
      <c r="E99" s="6"/>
      <c r="F99" s="6"/>
      <c r="G99" s="6"/>
      <c r="H99" s="399"/>
      <c r="I99" s="399"/>
      <c r="J99" s="399"/>
      <c r="K99" s="399"/>
      <c r="L99" s="399"/>
      <c r="M99" s="399"/>
      <c r="N99" s="399"/>
      <c r="O99" s="6"/>
      <c r="P99" s="6"/>
      <c r="Q99" s="6"/>
      <c r="R99" s="6"/>
    </row>
    <row r="100" spans="2:18" x14ac:dyDescent="0.2">
      <c r="B100" s="6"/>
      <c r="C100" s="6"/>
      <c r="D100" s="6"/>
      <c r="E100" s="6"/>
      <c r="F100" s="6"/>
      <c r="G100" s="6"/>
      <c r="H100" s="399"/>
      <c r="I100" s="399"/>
      <c r="J100" s="399"/>
      <c r="K100" s="399"/>
      <c r="L100" s="399"/>
      <c r="M100" s="399"/>
      <c r="N100" s="399"/>
      <c r="O100" s="6"/>
      <c r="P100" s="6"/>
      <c r="Q100" s="6"/>
      <c r="R100" s="6"/>
    </row>
    <row r="101" spans="2:18" x14ac:dyDescent="0.2">
      <c r="B101" s="6"/>
      <c r="C101" s="6"/>
      <c r="D101" s="6"/>
      <c r="E101" s="6"/>
      <c r="F101" s="6"/>
      <c r="G101" s="6"/>
      <c r="H101" s="399"/>
      <c r="I101" s="399"/>
      <c r="J101" s="399"/>
      <c r="K101" s="399"/>
      <c r="L101" s="399"/>
      <c r="M101" s="399"/>
      <c r="N101" s="399"/>
      <c r="O101" s="6"/>
      <c r="P101" s="6"/>
    </row>
    <row r="102" spans="2:18" x14ac:dyDescent="0.2">
      <c r="B102" s="6"/>
      <c r="C102" s="6"/>
      <c r="D102" s="6"/>
      <c r="E102" s="6"/>
      <c r="F102" s="6"/>
      <c r="G102" s="6"/>
      <c r="H102" s="399"/>
      <c r="I102" s="399"/>
      <c r="J102" s="399"/>
      <c r="K102" s="399"/>
      <c r="L102" s="399"/>
      <c r="M102" s="399"/>
      <c r="N102" s="399"/>
      <c r="O102" s="6"/>
      <c r="P102" s="6"/>
    </row>
    <row r="103" spans="2:18" x14ac:dyDescent="0.2">
      <c r="B103" s="6"/>
      <c r="C103" s="6"/>
      <c r="D103" s="6"/>
      <c r="E103" s="6"/>
      <c r="F103" s="6"/>
      <c r="G103" s="6"/>
      <c r="H103" s="399"/>
      <c r="I103" s="399"/>
      <c r="J103" s="399"/>
      <c r="K103" s="399"/>
      <c r="L103" s="399"/>
      <c r="M103" s="399"/>
      <c r="N103" s="399"/>
      <c r="O103" s="6"/>
      <c r="P103" s="6"/>
    </row>
    <row r="104" spans="2:18" x14ac:dyDescent="0.2">
      <c r="B104" s="6"/>
      <c r="C104" s="6"/>
      <c r="D104" s="6"/>
      <c r="E104" s="6"/>
      <c r="F104" s="6"/>
      <c r="G104" s="6"/>
      <c r="H104" s="399"/>
      <c r="I104" s="399"/>
      <c r="J104" s="399"/>
      <c r="K104" s="399"/>
      <c r="L104" s="399"/>
      <c r="M104" s="399"/>
      <c r="N104" s="399"/>
      <c r="O104" s="6"/>
      <c r="P104" s="6"/>
    </row>
    <row r="105" spans="2:18" x14ac:dyDescent="0.2">
      <c r="B105" s="6"/>
      <c r="C105" s="6"/>
      <c r="D105" s="6"/>
      <c r="E105" s="6"/>
      <c r="F105" s="6"/>
      <c r="G105" s="6"/>
      <c r="H105" s="399"/>
      <c r="I105" s="399"/>
      <c r="J105" s="399"/>
      <c r="K105" s="399"/>
      <c r="L105" s="399"/>
      <c r="M105" s="399"/>
      <c r="N105" s="399"/>
      <c r="O105" s="6"/>
      <c r="P105" s="6"/>
    </row>
    <row r="106" spans="2:18" x14ac:dyDescent="0.2">
      <c r="B106" s="6"/>
      <c r="C106" s="6"/>
      <c r="D106" s="6"/>
      <c r="E106" s="6"/>
      <c r="F106" s="6"/>
      <c r="G106" s="6"/>
      <c r="H106" s="399"/>
      <c r="I106" s="399"/>
      <c r="J106" s="399"/>
      <c r="K106" s="399"/>
      <c r="L106" s="399"/>
      <c r="M106" s="399"/>
      <c r="N106" s="399"/>
      <c r="O106" s="6"/>
      <c r="P106" s="6"/>
    </row>
    <row r="107" spans="2:18" x14ac:dyDescent="0.2">
      <c r="B107" s="6"/>
      <c r="C107" s="6"/>
      <c r="D107" s="6"/>
      <c r="E107" s="6"/>
      <c r="F107" s="6"/>
      <c r="G107" s="6"/>
      <c r="H107" s="399"/>
      <c r="I107" s="399"/>
      <c r="J107" s="399"/>
      <c r="K107" s="399"/>
      <c r="L107" s="399"/>
      <c r="M107" s="399"/>
      <c r="N107" s="399"/>
      <c r="O107" s="6"/>
      <c r="P107" s="6"/>
    </row>
  </sheetData>
  <sheetProtection algorithmName="SHA-512" hashValue="xtfYjPiq1Hf2/xF4gt1/jQ+XfPkjJ5kfZcV6Zp4fV0pPXNSo/IR0r7cC7Ipnups5+bJEgKrUhvevUg+HInT6Kg==" saltValue="p2JHoGxOqKtPaQItl2eJjg==" spinCount="100000" sheet="1" objects="1" scenarios="1"/>
  <phoneticPr fontId="83" type="noConversion"/>
  <printOptions gridLines="1"/>
  <pageMargins left="0.74803149606299213" right="0.74803149606299213" top="0.98425196850393704" bottom="0.98425196850393704" header="0.51181102362204722" footer="0.51181102362204722"/>
  <pageSetup paperSize="9" scale="61" orientation="landscape"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T332"/>
  <sheetViews>
    <sheetView zoomScale="80" zoomScaleNormal="80" zoomScaleSheetLayoutView="80" workbookViewId="0">
      <selection activeCell="B2" sqref="B2"/>
    </sheetView>
  </sheetViews>
  <sheetFormatPr defaultRowHeight="12.75" x14ac:dyDescent="0.2"/>
  <cols>
    <col min="1" max="1" width="2.42578125" style="6" customWidth="1"/>
    <col min="2" max="3" width="2.7109375" style="6" customWidth="1"/>
    <col min="4" max="4" width="10.7109375" style="9" customWidth="1"/>
    <col min="5" max="5" width="21.7109375" style="9" customWidth="1"/>
    <col min="6" max="6" width="17.85546875" style="9" customWidth="1"/>
    <col min="7" max="7" width="8.85546875" style="166" customWidth="1"/>
    <col min="8" max="8" width="8.85546875" style="224" customWidth="1"/>
    <col min="9" max="9" width="8.85546875" style="225" customWidth="1"/>
    <col min="10" max="10" width="10" style="225" customWidth="1"/>
    <col min="11" max="11" width="9.85546875" style="226" customWidth="1"/>
    <col min="12" max="12" width="2.28515625" style="1288" customWidth="1"/>
    <col min="13" max="13" width="10.42578125" style="227" customWidth="1"/>
    <col min="14" max="14" width="11" style="6" customWidth="1"/>
    <col min="15" max="15" width="10.7109375" style="228" customWidth="1"/>
    <col min="16" max="17" width="10.7109375" style="6" customWidth="1"/>
    <col min="18" max="18" width="13" style="6" customWidth="1"/>
    <col min="19" max="19" width="10.7109375" style="6" customWidth="1"/>
    <col min="20" max="20" width="12.7109375" style="229" customWidth="1"/>
    <col min="21" max="21" width="12" style="230" customWidth="1"/>
    <col min="22" max="22" width="3" style="6" customWidth="1"/>
    <col min="23" max="23" width="2.7109375" style="6" customWidth="1"/>
    <col min="24" max="24" width="4.140625" style="6" customWidth="1"/>
    <col min="25" max="28" width="8.7109375" style="6" customWidth="1"/>
    <col min="29" max="29" width="8.7109375" style="166" customWidth="1"/>
    <col min="30" max="30" width="10.5703125" style="232" customWidth="1"/>
    <col min="31" max="31" width="9.85546875" style="6" customWidth="1"/>
    <col min="32" max="32" width="8.140625" style="6" customWidth="1"/>
    <col min="33" max="33" width="8.85546875" style="6" customWidth="1"/>
    <col min="34" max="34" width="9.28515625" style="6" customWidth="1"/>
    <col min="35" max="35" width="8.85546875" style="6" customWidth="1"/>
    <col min="36" max="36" width="8.140625" style="6" customWidth="1"/>
    <col min="37" max="37" width="9.85546875" style="6" customWidth="1"/>
    <col min="38" max="38" width="9.28515625" style="166" customWidth="1"/>
    <col min="39" max="39" width="12.7109375" style="232" customWidth="1"/>
    <col min="40" max="40" width="12.7109375" style="6" customWidth="1"/>
    <col min="41" max="41" width="1.5703125" style="6" customWidth="1"/>
    <col min="42" max="43" width="10.7109375" style="6" customWidth="1"/>
    <col min="44" max="45" width="2.7109375" style="6" customWidth="1"/>
    <col min="46" max="51" width="9.28515625" style="6" bestFit="1" customWidth="1"/>
    <col min="52" max="16384" width="9.140625" style="6"/>
  </cols>
  <sheetData>
    <row r="1" spans="2:46" ht="12.75" customHeight="1" x14ac:dyDescent="0.2"/>
    <row r="2" spans="2:46" x14ac:dyDescent="0.2">
      <c r="B2" s="18"/>
      <c r="C2" s="19"/>
      <c r="D2" s="289"/>
      <c r="E2" s="289"/>
      <c r="F2" s="289"/>
      <c r="G2" s="174"/>
      <c r="H2" s="290"/>
      <c r="I2" s="291"/>
      <c r="J2" s="291"/>
      <c r="K2" s="292"/>
      <c r="L2" s="1298"/>
      <c r="M2" s="293"/>
      <c r="N2" s="19"/>
      <c r="O2" s="294"/>
      <c r="P2" s="19"/>
      <c r="Q2" s="19"/>
      <c r="R2" s="19"/>
      <c r="S2" s="19"/>
      <c r="T2" s="295"/>
      <c r="U2" s="296"/>
      <c r="V2" s="19"/>
      <c r="W2" s="20"/>
    </row>
    <row r="3" spans="2:46" x14ac:dyDescent="0.2">
      <c r="B3" s="21"/>
      <c r="C3" s="22"/>
      <c r="D3" s="297"/>
      <c r="E3" s="297"/>
      <c r="F3" s="297"/>
      <c r="G3" s="24"/>
      <c r="H3" s="298"/>
      <c r="I3" s="299"/>
      <c r="J3" s="299"/>
      <c r="K3" s="300"/>
      <c r="L3" s="1299"/>
      <c r="M3" s="301"/>
      <c r="N3" s="22"/>
      <c r="O3" s="302"/>
      <c r="P3" s="22"/>
      <c r="Q3" s="22"/>
      <c r="R3" s="22"/>
      <c r="S3" s="22"/>
      <c r="T3" s="303"/>
      <c r="U3" s="304"/>
      <c r="V3" s="22"/>
      <c r="W3" s="25"/>
    </row>
    <row r="4" spans="2:46" s="233" customFormat="1" ht="18.75" x14ac:dyDescent="0.3">
      <c r="B4" s="305"/>
      <c r="C4" s="55" t="s">
        <v>562</v>
      </c>
      <c r="D4" s="307"/>
      <c r="E4" s="308"/>
      <c r="F4" s="308"/>
      <c r="G4" s="309"/>
      <c r="H4" s="310"/>
      <c r="I4" s="311"/>
      <c r="J4" s="311"/>
      <c r="K4" s="312"/>
      <c r="L4" s="1300"/>
      <c r="M4" s="313"/>
      <c r="N4" s="307"/>
      <c r="O4" s="314"/>
      <c r="P4" s="307"/>
      <c r="Q4" s="307"/>
      <c r="R4" s="307"/>
      <c r="S4" s="307"/>
      <c r="T4" s="315"/>
      <c r="U4" s="316"/>
      <c r="V4" s="307"/>
      <c r="W4" s="317"/>
      <c r="AC4" s="238"/>
      <c r="AD4" s="237"/>
      <c r="AE4" s="238"/>
      <c r="AF4" s="238"/>
      <c r="AG4" s="238"/>
      <c r="AH4" s="238"/>
      <c r="AI4" s="235"/>
      <c r="AJ4" s="234"/>
      <c r="AK4" s="236"/>
      <c r="AL4" s="239"/>
      <c r="AM4" s="235"/>
    </row>
    <row r="5" spans="2:46" s="240" customFormat="1" ht="18.75" x14ac:dyDescent="0.3">
      <c r="B5" s="318"/>
      <c r="C5" s="902" t="str">
        <f>+'geg LO'!C5</f>
        <v xml:space="preserve">SWV VO </v>
      </c>
      <c r="D5" s="319"/>
      <c r="E5" s="320"/>
      <c r="F5" s="320"/>
      <c r="G5" s="321"/>
      <c r="H5" s="322"/>
      <c r="I5" s="323"/>
      <c r="J5" s="323"/>
      <c r="K5" s="324"/>
      <c r="L5" s="1301"/>
      <c r="M5" s="325"/>
      <c r="N5" s="319"/>
      <c r="O5" s="326"/>
      <c r="P5" s="319"/>
      <c r="Q5" s="319"/>
      <c r="R5" s="319"/>
      <c r="S5" s="319"/>
      <c r="T5" s="327"/>
      <c r="U5" s="328"/>
      <c r="V5" s="319"/>
      <c r="W5" s="329"/>
      <c r="AC5" s="245"/>
      <c r="AD5" s="244"/>
      <c r="AE5" s="245"/>
      <c r="AF5" s="245"/>
      <c r="AG5" s="245"/>
      <c r="AH5" s="245"/>
      <c r="AI5" s="242"/>
      <c r="AJ5" s="241"/>
      <c r="AK5" s="243"/>
      <c r="AL5" s="246"/>
      <c r="AM5" s="242"/>
    </row>
    <row r="6" spans="2:46" s="240" customFormat="1" ht="12" customHeight="1" x14ac:dyDescent="0.3">
      <c r="B6" s="318"/>
      <c r="C6" s="902"/>
      <c r="D6" s="319"/>
      <c r="E6" s="320"/>
      <c r="F6" s="320"/>
      <c r="G6" s="321"/>
      <c r="H6" s="322"/>
      <c r="I6" s="323"/>
      <c r="J6" s="323"/>
      <c r="K6" s="324"/>
      <c r="L6" s="1301"/>
      <c r="M6" s="325"/>
      <c r="N6" s="319"/>
      <c r="O6" s="326"/>
      <c r="P6" s="319"/>
      <c r="Q6" s="319"/>
      <c r="R6" s="319"/>
      <c r="S6" s="319"/>
      <c r="T6" s="327"/>
      <c r="U6" s="328"/>
      <c r="V6" s="319"/>
      <c r="W6" s="905"/>
      <c r="AC6" s="245"/>
      <c r="AD6" s="244"/>
      <c r="AE6" s="245"/>
      <c r="AF6" s="245"/>
      <c r="AG6" s="245"/>
      <c r="AH6" s="245"/>
      <c r="AI6" s="242"/>
      <c r="AJ6" s="241"/>
      <c r="AK6" s="243"/>
      <c r="AL6" s="246"/>
      <c r="AM6" s="242"/>
    </row>
    <row r="7" spans="2:46" s="249" customFormat="1" ht="12.75" customHeight="1" x14ac:dyDescent="0.25">
      <c r="B7" s="330"/>
      <c r="C7" s="22" t="s">
        <v>145</v>
      </c>
      <c r="D7" s="297"/>
      <c r="E7" s="343" t="str">
        <f>tab!D2</f>
        <v>2014/15</v>
      </c>
      <c r="F7" s="333"/>
      <c r="G7" s="334"/>
      <c r="H7" s="335"/>
      <c r="I7" s="336"/>
      <c r="J7" s="336"/>
      <c r="K7" s="337"/>
      <c r="L7" s="1302"/>
      <c r="M7" s="338"/>
      <c r="N7" s="331"/>
      <c r="O7" s="339"/>
      <c r="P7" s="331"/>
      <c r="Q7" s="331"/>
      <c r="R7" s="331"/>
      <c r="S7" s="331"/>
      <c r="T7" s="340"/>
      <c r="U7" s="341"/>
      <c r="V7" s="331"/>
      <c r="W7" s="342"/>
      <c r="AC7" s="253"/>
      <c r="AD7" s="254"/>
      <c r="AE7" s="253"/>
      <c r="AF7" s="253"/>
      <c r="AG7" s="253"/>
      <c r="AH7" s="253"/>
      <c r="AI7" s="251"/>
      <c r="AJ7" s="250"/>
      <c r="AK7" s="252"/>
      <c r="AL7" s="255"/>
      <c r="AM7" s="251"/>
    </row>
    <row r="8" spans="2:46" ht="12.75" customHeight="1" x14ac:dyDescent="0.2">
      <c r="B8" s="21"/>
      <c r="C8" s="22" t="s">
        <v>146</v>
      </c>
      <c r="D8" s="297"/>
      <c r="E8" s="343">
        <f>tab!E3</f>
        <v>41913</v>
      </c>
      <c r="F8" s="53"/>
      <c r="G8" s="54"/>
      <c r="H8" s="344"/>
      <c r="I8" s="299"/>
      <c r="J8" s="299"/>
      <c r="K8" s="300"/>
      <c r="L8" s="1299"/>
      <c r="M8" s="301"/>
      <c r="N8" s="22"/>
      <c r="O8" s="302"/>
      <c r="P8" s="22"/>
      <c r="Q8" s="22"/>
      <c r="R8" s="22"/>
      <c r="S8" s="22"/>
      <c r="T8" s="303"/>
      <c r="U8" s="304"/>
      <c r="V8" s="22"/>
      <c r="W8" s="25"/>
      <c r="AC8" s="247"/>
      <c r="AD8" s="248"/>
      <c r="AE8" s="247"/>
      <c r="AF8" s="247"/>
      <c r="AG8" s="247"/>
      <c r="AH8" s="247"/>
      <c r="AI8" s="226"/>
      <c r="AJ8" s="225"/>
      <c r="AK8" s="227"/>
      <c r="AL8" s="14"/>
      <c r="AM8" s="226"/>
    </row>
    <row r="9" spans="2:46" ht="12.75" customHeight="1" x14ac:dyDescent="0.25">
      <c r="B9" s="21"/>
      <c r="C9" s="22"/>
      <c r="D9" s="332"/>
      <c r="E9" s="345"/>
      <c r="F9" s="53"/>
      <c r="G9" s="54"/>
      <c r="H9" s="344"/>
      <c r="I9" s="299"/>
      <c r="J9" s="299"/>
      <c r="K9" s="300"/>
      <c r="L9" s="1299"/>
      <c r="M9" s="301"/>
      <c r="N9" s="22"/>
      <c r="O9" s="302"/>
      <c r="P9" s="22"/>
      <c r="Q9" s="22"/>
      <c r="R9" s="22"/>
      <c r="S9" s="22"/>
      <c r="T9" s="303"/>
      <c r="U9" s="304"/>
      <c r="V9" s="22"/>
      <c r="W9" s="25"/>
      <c r="AC9" s="257"/>
      <c r="AD9" s="258"/>
      <c r="AE9" s="257"/>
      <c r="AF9" s="257"/>
      <c r="AG9" s="257"/>
      <c r="AH9" s="247"/>
      <c r="AI9" s="259"/>
      <c r="AJ9" s="260"/>
      <c r="AK9" s="261"/>
      <c r="AL9" s="262"/>
      <c r="AM9" s="259"/>
    </row>
    <row r="10" spans="2:46" ht="12.75" customHeight="1" x14ac:dyDescent="0.2">
      <c r="B10" s="21"/>
      <c r="C10" s="35"/>
      <c r="D10" s="187"/>
      <c r="E10" s="93"/>
      <c r="F10" s="187"/>
      <c r="G10" s="186"/>
      <c r="H10" s="193"/>
      <c r="I10" s="361"/>
      <c r="J10" s="361"/>
      <c r="K10" s="362"/>
      <c r="L10" s="1290"/>
      <c r="M10" s="363"/>
      <c r="N10" s="35"/>
      <c r="O10" s="364"/>
      <c r="P10" s="35"/>
      <c r="Q10" s="35"/>
      <c r="R10" s="35"/>
      <c r="S10" s="35"/>
      <c r="T10" s="365"/>
      <c r="U10" s="366"/>
      <c r="V10" s="35"/>
      <c r="W10" s="25"/>
      <c r="X10" s="952"/>
      <c r="AC10" s="1306"/>
      <c r="AD10" s="1307"/>
      <c r="AE10" s="1306"/>
      <c r="AF10" s="1306"/>
      <c r="AG10" s="1306"/>
      <c r="AH10" s="1308"/>
      <c r="AI10" s="1309"/>
      <c r="AJ10" s="1310"/>
      <c r="AK10" s="1311"/>
      <c r="AL10" s="1312"/>
      <c r="AM10" s="1309"/>
    </row>
    <row r="11" spans="2:46" s="1346" customFormat="1" ht="12.75" customHeight="1" x14ac:dyDescent="0.2">
      <c r="B11" s="1322"/>
      <c r="C11" s="1323"/>
      <c r="D11" s="1324" t="s">
        <v>147</v>
      </c>
      <c r="E11" s="1325"/>
      <c r="F11" s="1325"/>
      <c r="G11" s="1325"/>
      <c r="H11" s="1325"/>
      <c r="I11" s="1325"/>
      <c r="J11" s="1325"/>
      <c r="K11" s="1325"/>
      <c r="L11" s="1326"/>
      <c r="M11" s="1327" t="s">
        <v>817</v>
      </c>
      <c r="N11" s="1328"/>
      <c r="O11" s="1329"/>
      <c r="P11" s="1329"/>
      <c r="Q11" s="1328"/>
      <c r="R11" s="1330" t="s">
        <v>818</v>
      </c>
      <c r="S11" s="1331"/>
      <c r="T11" s="1331"/>
      <c r="U11" s="1331"/>
      <c r="V11" s="1332"/>
      <c r="W11" s="1333"/>
      <c r="X11" s="1334"/>
      <c r="Y11" s="1335"/>
      <c r="Z11" s="1336"/>
      <c r="AA11" s="1336"/>
      <c r="AB11" s="1337"/>
      <c r="AC11" s="1338"/>
      <c r="AD11" s="1339"/>
      <c r="AE11" s="1338"/>
      <c r="AF11" s="1340"/>
      <c r="AG11" s="1340"/>
      <c r="AH11" s="1341"/>
      <c r="AI11" s="1342"/>
      <c r="AJ11" s="1341"/>
      <c r="AK11" s="1343"/>
      <c r="AL11" s="1343"/>
      <c r="AM11" s="1343"/>
      <c r="AN11" s="1344"/>
      <c r="AO11" s="1345"/>
      <c r="AP11" s="1345"/>
    </row>
    <row r="12" spans="2:46" s="1363" customFormat="1" ht="12.75" customHeight="1" x14ac:dyDescent="0.2">
      <c r="B12" s="1347"/>
      <c r="C12" s="1348"/>
      <c r="D12" s="1349" t="s">
        <v>148</v>
      </c>
      <c r="E12" s="1349" t="s">
        <v>149</v>
      </c>
      <c r="F12" s="1349" t="s">
        <v>150</v>
      </c>
      <c r="G12" s="1350" t="s">
        <v>151</v>
      </c>
      <c r="H12" s="1351" t="s">
        <v>152</v>
      </c>
      <c r="I12" s="1350" t="s">
        <v>115</v>
      </c>
      <c r="J12" s="1350" t="s">
        <v>153</v>
      </c>
      <c r="K12" s="1352" t="s">
        <v>154</v>
      </c>
      <c r="L12" s="1353"/>
      <c r="M12" s="1354" t="s">
        <v>819</v>
      </c>
      <c r="N12" s="1355" t="s">
        <v>820</v>
      </c>
      <c r="O12" s="1356" t="s">
        <v>821</v>
      </c>
      <c r="P12" s="1357" t="s">
        <v>822</v>
      </c>
      <c r="Q12" s="1355" t="s">
        <v>823</v>
      </c>
      <c r="R12" s="1356" t="s">
        <v>155</v>
      </c>
      <c r="S12" s="1354" t="s">
        <v>824</v>
      </c>
      <c r="T12" s="1354" t="s">
        <v>825</v>
      </c>
      <c r="U12" s="1354" t="s">
        <v>155</v>
      </c>
      <c r="V12" s="1358"/>
      <c r="W12" s="1359"/>
      <c r="X12" s="1360"/>
      <c r="Y12" s="1361"/>
      <c r="Z12" s="1362"/>
      <c r="AA12" s="1362"/>
      <c r="AB12" s="1371" t="s">
        <v>290</v>
      </c>
      <c r="AC12" s="1372" t="s">
        <v>826</v>
      </c>
      <c r="AD12" s="1373" t="s">
        <v>827</v>
      </c>
      <c r="AE12" s="1373" t="s">
        <v>827</v>
      </c>
      <c r="AF12" s="1373" t="s">
        <v>828</v>
      </c>
      <c r="AG12" s="1373" t="s">
        <v>823</v>
      </c>
      <c r="AH12" s="1373" t="s">
        <v>829</v>
      </c>
      <c r="AI12" s="1373" t="s">
        <v>830</v>
      </c>
      <c r="AJ12" s="1373" t="s">
        <v>831</v>
      </c>
      <c r="AK12" s="1373" t="s">
        <v>157</v>
      </c>
      <c r="AL12" s="1165" t="s">
        <v>303</v>
      </c>
      <c r="AN12" s="1345"/>
      <c r="AO12" s="1364"/>
    </row>
    <row r="13" spans="2:46" s="1363" customFormat="1" ht="12.75" customHeight="1" x14ac:dyDescent="0.2">
      <c r="B13" s="1347"/>
      <c r="C13" s="1348"/>
      <c r="D13" s="1325"/>
      <c r="E13" s="1349"/>
      <c r="F13" s="1365"/>
      <c r="G13" s="1350" t="s">
        <v>159</v>
      </c>
      <c r="H13" s="1351" t="s">
        <v>160</v>
      </c>
      <c r="I13" s="1350"/>
      <c r="J13" s="1350"/>
      <c r="K13" s="1366"/>
      <c r="L13" s="1353"/>
      <c r="M13" s="1367" t="s">
        <v>832</v>
      </c>
      <c r="N13" s="1355" t="s">
        <v>833</v>
      </c>
      <c r="O13" s="1356" t="s">
        <v>834</v>
      </c>
      <c r="P13" s="1357" t="s">
        <v>95</v>
      </c>
      <c r="Q13" s="1355" t="s">
        <v>835</v>
      </c>
      <c r="R13" s="1356" t="s">
        <v>836</v>
      </c>
      <c r="S13" s="1368" t="s">
        <v>837</v>
      </c>
      <c r="T13" s="1368" t="s">
        <v>838</v>
      </c>
      <c r="U13" s="1354" t="s">
        <v>95</v>
      </c>
      <c r="V13" s="1358"/>
      <c r="W13" s="1359"/>
      <c r="X13" s="1360"/>
      <c r="Y13" s="1369"/>
      <c r="Z13" s="1362"/>
      <c r="AA13" s="1362"/>
      <c r="AB13" s="1373" t="s">
        <v>839</v>
      </c>
      <c r="AC13" s="1374">
        <f>tab!$D$101</f>
        <v>0.53</v>
      </c>
      <c r="AD13" s="1373" t="s">
        <v>840</v>
      </c>
      <c r="AE13" s="1373" t="s">
        <v>841</v>
      </c>
      <c r="AF13" s="1373" t="s">
        <v>842</v>
      </c>
      <c r="AG13" s="1373" t="s">
        <v>835</v>
      </c>
      <c r="AH13" s="1373" t="s">
        <v>843</v>
      </c>
      <c r="AI13" s="1373" t="s">
        <v>843</v>
      </c>
      <c r="AJ13" s="1373" t="s">
        <v>844</v>
      </c>
      <c r="AK13" s="1373"/>
      <c r="AL13" s="1373" t="s">
        <v>156</v>
      </c>
      <c r="AO13" s="1370"/>
    </row>
    <row r="14" spans="2:46" ht="12.75" customHeight="1" x14ac:dyDescent="0.2">
      <c r="B14" s="21"/>
      <c r="C14" s="35"/>
      <c r="D14" s="187"/>
      <c r="E14" s="187"/>
      <c r="F14" s="187"/>
      <c r="G14" s="186"/>
      <c r="H14" s="193"/>
      <c r="I14" s="368"/>
      <c r="J14" s="368"/>
      <c r="K14" s="369"/>
      <c r="L14" s="1292"/>
      <c r="M14" s="369"/>
      <c r="N14" s="370"/>
      <c r="O14" s="371"/>
      <c r="P14" s="372"/>
      <c r="Q14" s="372"/>
      <c r="R14" s="372"/>
      <c r="S14" s="372"/>
      <c r="T14" s="373"/>
      <c r="U14" s="374"/>
      <c r="V14" s="370"/>
      <c r="W14" s="25"/>
      <c r="AC14" s="6"/>
      <c r="AD14" s="6"/>
      <c r="AL14" s="6"/>
      <c r="AM14" s="6"/>
      <c r="AO14" s="269"/>
    </row>
    <row r="15" spans="2:46" ht="12.75" customHeight="1" x14ac:dyDescent="0.2">
      <c r="B15" s="21"/>
      <c r="C15" s="35"/>
      <c r="D15" s="96"/>
      <c r="E15" s="1628"/>
      <c r="F15" s="535"/>
      <c r="G15" s="1379"/>
      <c r="H15" s="1629"/>
      <c r="I15" s="1379"/>
      <c r="J15" s="1379"/>
      <c r="K15" s="1380"/>
      <c r="L15" s="1293"/>
      <c r="M15" s="847">
        <v>0</v>
      </c>
      <c r="N15" s="1521">
        <v>0</v>
      </c>
      <c r="O15" s="1522" t="str">
        <f>IF(K15="","",K15*50)</f>
        <v/>
      </c>
      <c r="P15" s="1305">
        <f>SUM(M15:O15)</f>
        <v>0</v>
      </c>
      <c r="Q15" s="1304">
        <v>0</v>
      </c>
      <c r="R15" s="392" t="str">
        <f>IF(K15="","",(1659*K15-P15)*AE15)</f>
        <v/>
      </c>
      <c r="S15" s="392" t="str">
        <f>IF(K15="","",P15*AF15+AD15*(AH15+AI15*(1-AJ15)))</f>
        <v/>
      </c>
      <c r="T15" s="393">
        <f>ROUND(IF(K15="",0,+Q15/1659*(AB15*12*(1+tab!$D$111+tab!$D$112)-tab!$D$110)*tab!$D$108),-1)</f>
        <v>0</v>
      </c>
      <c r="U15" s="1321" t="str">
        <f>IF(K15="","",IF(E15=0,0,(R15+S15+T15)))</f>
        <v/>
      </c>
      <c r="V15" s="376"/>
      <c r="W15" s="25"/>
      <c r="AB15" s="1314" t="str">
        <f t="shared" ref="AB15:AB34" si="0">IF(I15="","",VLOOKUP(I15,tabelsalaris2014VOb,J15+2,FALSE)*5/12+VLOOKUP(I15,tabelsalaris2015VO,J15+2,FALSE)*7/12)</f>
        <v/>
      </c>
      <c r="AC15" s="1374">
        <f>tab!$D$101</f>
        <v>0.53</v>
      </c>
      <c r="AD15" s="1313" t="e">
        <f>AB15*12/1659</f>
        <v>#VALUE!</v>
      </c>
      <c r="AE15" s="1313" t="e">
        <f>AB15*12*(1+AC15)/1659</f>
        <v>#VALUE!</v>
      </c>
      <c r="AF15" s="1313" t="e">
        <f>+AE15-AD15</f>
        <v>#VALUE!</v>
      </c>
      <c r="AG15" s="14">
        <f>Q15</f>
        <v>0</v>
      </c>
      <c r="AH15" s="1315" t="str">
        <f>O15</f>
        <v/>
      </c>
      <c r="AI15" s="14">
        <f>(M15+N15)</f>
        <v>0</v>
      </c>
      <c r="AJ15" s="1316">
        <f>IF(I15&gt;8,50%,40%)</f>
        <v>0.4</v>
      </c>
      <c r="AK15" s="6">
        <f>IF(G15&lt;25,0,IF(G15=25,25,IF(G15&lt;40,0,IF(G15=40,40,IF(G15&gt;=40,0)))))</f>
        <v>0</v>
      </c>
      <c r="AL15" s="1317">
        <f>IF(AK15=25,AB15*1.08*K15/2,IF(AK15=40,AB15*1.08*K15,0))</f>
        <v>0</v>
      </c>
      <c r="AT15" s="270" t="s">
        <v>103</v>
      </c>
    </row>
    <row r="16" spans="2:46" ht="12.75" customHeight="1" x14ac:dyDescent="0.2">
      <c r="B16" s="21"/>
      <c r="C16" s="35"/>
      <c r="D16" s="96"/>
      <c r="E16" s="151"/>
      <c r="F16" s="535"/>
      <c r="G16" s="152"/>
      <c r="H16" s="1630"/>
      <c r="I16" s="1379"/>
      <c r="J16" s="152"/>
      <c r="K16" s="1631"/>
      <c r="L16" s="1293"/>
      <c r="M16" s="847">
        <v>0</v>
      </c>
      <c r="N16" s="1521">
        <v>0</v>
      </c>
      <c r="O16" s="1522" t="str">
        <f t="shared" ref="O16:O34" si="1">IF(K16="","",K16*50)</f>
        <v/>
      </c>
      <c r="P16" s="1305">
        <f t="shared" ref="P16:P34" si="2">SUM(M16:O16)</f>
        <v>0</v>
      </c>
      <c r="Q16" s="1304">
        <v>0</v>
      </c>
      <c r="R16" s="392" t="str">
        <f t="shared" ref="R16:R34" si="3">IF(K16="","",(1659*K16-P16)*AE16)</f>
        <v/>
      </c>
      <c r="S16" s="392" t="str">
        <f>IF(K16="","",P16*AF16+AD16*(AH16+AI16*(1-AJ16)))</f>
        <v/>
      </c>
      <c r="T16" s="393">
        <f>ROUND(IF(K16="",0,+Q16/1659*(AB16*12*(1+tab!$D$111+tab!$D$112)-tab!$D$110)*tab!$D$108),-1)</f>
        <v>0</v>
      </c>
      <c r="U16" s="1321" t="str">
        <f t="shared" ref="U16:U34" si="4">IF(K16="","",IF(E16=0,0,(R16+S16+T16)))</f>
        <v/>
      </c>
      <c r="V16" s="376"/>
      <c r="W16" s="25"/>
      <c r="AB16" s="1314" t="str">
        <f t="shared" si="0"/>
        <v/>
      </c>
      <c r="AC16" s="1374">
        <f>tab!$D$101</f>
        <v>0.53</v>
      </c>
      <c r="AD16" s="1313" t="e">
        <f t="shared" ref="AD16:AD35" si="5">AB16*12/1659</f>
        <v>#VALUE!</v>
      </c>
      <c r="AE16" s="1313" t="e">
        <f t="shared" ref="AE16:AE34" si="6">AB16*12*(1+AC16)/1659</f>
        <v>#VALUE!</v>
      </c>
      <c r="AF16" s="1313" t="e">
        <f t="shared" ref="AF16:AF34" si="7">+AE16-AD16</f>
        <v>#VALUE!</v>
      </c>
      <c r="AG16" s="14">
        <f t="shared" ref="AG16:AG34" si="8">Q16</f>
        <v>0</v>
      </c>
      <c r="AH16" s="1315" t="str">
        <f t="shared" ref="AH16:AH34" si="9">O16</f>
        <v/>
      </c>
      <c r="AI16" s="14">
        <f t="shared" ref="AI16:AI34" si="10">(M16+N16)</f>
        <v>0</v>
      </c>
      <c r="AJ16" s="1316">
        <f t="shared" ref="AJ16:AJ34" si="11">IF(I16&gt;8,50%,40%)</f>
        <v>0.4</v>
      </c>
      <c r="AK16" s="6">
        <f t="shared" ref="AK16:AK34" si="12">IF(G16&lt;25,0,IF(G16=25,25,IF(G16&lt;40,0,IF(G16=40,40,IF(G16&gt;=40,0)))))</f>
        <v>0</v>
      </c>
      <c r="AL16" s="1317">
        <f t="shared" ref="AL16:AL34" si="13">IF(AK16=25,AB16*1.08*K16/2,IF(AK16=40,AB16*1.08*K16,0))</f>
        <v>0</v>
      </c>
      <c r="AT16" s="270" t="s">
        <v>104</v>
      </c>
    </row>
    <row r="17" spans="2:46" ht="12.75" customHeight="1" x14ac:dyDescent="0.2">
      <c r="B17" s="21"/>
      <c r="C17" s="35"/>
      <c r="D17" s="96"/>
      <c r="E17" s="151"/>
      <c r="F17" s="535"/>
      <c r="G17" s="152"/>
      <c r="H17" s="1630"/>
      <c r="I17" s="1379"/>
      <c r="J17" s="152"/>
      <c r="K17" s="1631"/>
      <c r="L17" s="1293"/>
      <c r="M17" s="847">
        <v>0</v>
      </c>
      <c r="N17" s="1521">
        <v>0</v>
      </c>
      <c r="O17" s="1522" t="str">
        <f t="shared" si="1"/>
        <v/>
      </c>
      <c r="P17" s="1305">
        <f t="shared" si="2"/>
        <v>0</v>
      </c>
      <c r="Q17" s="1304">
        <v>0</v>
      </c>
      <c r="R17" s="392" t="str">
        <f t="shared" si="3"/>
        <v/>
      </c>
      <c r="S17" s="392" t="str">
        <f t="shared" ref="S17:S34" si="14">IF(K17="","",P17*AF17+AD17*(AH17+AI17*(1-AJ17)))</f>
        <v/>
      </c>
      <c r="T17" s="393">
        <f>ROUND(IF(K17="",0,+Q17/1659*(AB17*12*(1+tab!$D$111+tab!$D$112)-tab!$D$110)*tab!$D$108),-1)</f>
        <v>0</v>
      </c>
      <c r="U17" s="1321" t="str">
        <f t="shared" si="4"/>
        <v/>
      </c>
      <c r="V17" s="376"/>
      <c r="W17" s="25"/>
      <c r="AB17" s="1314" t="str">
        <f t="shared" si="0"/>
        <v/>
      </c>
      <c r="AC17" s="1374">
        <f>tab!$D$101</f>
        <v>0.53</v>
      </c>
      <c r="AD17" s="1313" t="e">
        <f t="shared" si="5"/>
        <v>#VALUE!</v>
      </c>
      <c r="AE17" s="1313" t="e">
        <f t="shared" si="6"/>
        <v>#VALUE!</v>
      </c>
      <c r="AF17" s="1313" t="e">
        <f t="shared" si="7"/>
        <v>#VALUE!</v>
      </c>
      <c r="AG17" s="14">
        <f t="shared" si="8"/>
        <v>0</v>
      </c>
      <c r="AH17" s="1315" t="str">
        <f t="shared" si="9"/>
        <v/>
      </c>
      <c r="AI17" s="14">
        <f t="shared" si="10"/>
        <v>0</v>
      </c>
      <c r="AJ17" s="1316">
        <f t="shared" si="11"/>
        <v>0.4</v>
      </c>
      <c r="AK17" s="6">
        <f t="shared" si="12"/>
        <v>0</v>
      </c>
      <c r="AL17" s="1317">
        <f t="shared" si="13"/>
        <v>0</v>
      </c>
      <c r="AT17" s="270" t="s">
        <v>105</v>
      </c>
    </row>
    <row r="18" spans="2:46" ht="12.75" customHeight="1" x14ac:dyDescent="0.2">
      <c r="B18" s="21"/>
      <c r="C18" s="35"/>
      <c r="D18" s="96"/>
      <c r="E18" s="151"/>
      <c r="F18" s="535"/>
      <c r="G18" s="152"/>
      <c r="H18" s="1630"/>
      <c r="I18" s="1379"/>
      <c r="J18" s="152"/>
      <c r="K18" s="1631"/>
      <c r="L18" s="1293"/>
      <c r="M18" s="847">
        <v>0</v>
      </c>
      <c r="N18" s="1521">
        <v>0</v>
      </c>
      <c r="O18" s="1522" t="str">
        <f t="shared" si="1"/>
        <v/>
      </c>
      <c r="P18" s="1305">
        <f t="shared" si="2"/>
        <v>0</v>
      </c>
      <c r="Q18" s="1304">
        <v>0</v>
      </c>
      <c r="R18" s="392" t="str">
        <f t="shared" si="3"/>
        <v/>
      </c>
      <c r="S18" s="392" t="str">
        <f t="shared" si="14"/>
        <v/>
      </c>
      <c r="T18" s="393">
        <f>ROUND(IF(K18="",0,+Q18/1659*(AB18*12*(1+tab!$D$111+tab!$D$112)-tab!$D$110)*tab!$D$108),-1)</f>
        <v>0</v>
      </c>
      <c r="U18" s="1321" t="str">
        <f t="shared" si="4"/>
        <v/>
      </c>
      <c r="V18" s="376"/>
      <c r="W18" s="25"/>
      <c r="AB18" s="1314" t="str">
        <f t="shared" si="0"/>
        <v/>
      </c>
      <c r="AC18" s="1374">
        <f>tab!$D$101</f>
        <v>0.53</v>
      </c>
      <c r="AD18" s="1313" t="e">
        <f t="shared" si="5"/>
        <v>#VALUE!</v>
      </c>
      <c r="AE18" s="1313" t="e">
        <f t="shared" si="6"/>
        <v>#VALUE!</v>
      </c>
      <c r="AF18" s="1313" t="e">
        <f t="shared" si="7"/>
        <v>#VALUE!</v>
      </c>
      <c r="AG18" s="14">
        <f t="shared" si="8"/>
        <v>0</v>
      </c>
      <c r="AH18" s="1315" t="str">
        <f t="shared" si="9"/>
        <v/>
      </c>
      <c r="AI18" s="14">
        <f t="shared" si="10"/>
        <v>0</v>
      </c>
      <c r="AJ18" s="1316">
        <f t="shared" si="11"/>
        <v>0.4</v>
      </c>
      <c r="AK18" s="6">
        <f t="shared" si="12"/>
        <v>0</v>
      </c>
      <c r="AL18" s="1317">
        <f t="shared" si="13"/>
        <v>0</v>
      </c>
      <c r="AT18" s="270" t="s">
        <v>106</v>
      </c>
    </row>
    <row r="19" spans="2:46" ht="12.75" customHeight="1" x14ac:dyDescent="0.2">
      <c r="B19" s="21"/>
      <c r="C19" s="35"/>
      <c r="D19" s="96"/>
      <c r="E19" s="151"/>
      <c r="F19" s="535"/>
      <c r="G19" s="152"/>
      <c r="H19" s="1630"/>
      <c r="I19" s="1379"/>
      <c r="J19" s="152"/>
      <c r="K19" s="1631"/>
      <c r="L19" s="1293"/>
      <c r="M19" s="847">
        <v>0</v>
      </c>
      <c r="N19" s="1521">
        <v>0</v>
      </c>
      <c r="O19" s="1522" t="str">
        <f t="shared" si="1"/>
        <v/>
      </c>
      <c r="P19" s="1305">
        <f t="shared" si="2"/>
        <v>0</v>
      </c>
      <c r="Q19" s="1304">
        <v>0</v>
      </c>
      <c r="R19" s="392" t="str">
        <f t="shared" si="3"/>
        <v/>
      </c>
      <c r="S19" s="392" t="str">
        <f t="shared" si="14"/>
        <v/>
      </c>
      <c r="T19" s="393">
        <f>ROUND(IF(K19="",0,+Q19/1659*(AB19*12*(1+tab!$D$111+tab!$D$112)-tab!$D$110)*tab!$D$108),-1)</f>
        <v>0</v>
      </c>
      <c r="U19" s="1321" t="str">
        <f t="shared" si="4"/>
        <v/>
      </c>
      <c r="V19" s="376"/>
      <c r="W19" s="25"/>
      <c r="AB19" s="1314" t="str">
        <f t="shared" si="0"/>
        <v/>
      </c>
      <c r="AC19" s="1374">
        <f>tab!$D$101</f>
        <v>0.53</v>
      </c>
      <c r="AD19" s="1313" t="e">
        <f t="shared" si="5"/>
        <v>#VALUE!</v>
      </c>
      <c r="AE19" s="1313" t="e">
        <f t="shared" si="6"/>
        <v>#VALUE!</v>
      </c>
      <c r="AF19" s="1313" t="e">
        <f t="shared" si="7"/>
        <v>#VALUE!</v>
      </c>
      <c r="AG19" s="14">
        <f t="shared" si="8"/>
        <v>0</v>
      </c>
      <c r="AH19" s="1315" t="str">
        <f t="shared" si="9"/>
        <v/>
      </c>
      <c r="AI19" s="14">
        <f t="shared" si="10"/>
        <v>0</v>
      </c>
      <c r="AJ19" s="1316">
        <f t="shared" si="11"/>
        <v>0.4</v>
      </c>
      <c r="AK19" s="6">
        <f t="shared" si="12"/>
        <v>0</v>
      </c>
      <c r="AL19" s="1317">
        <f t="shared" si="13"/>
        <v>0</v>
      </c>
      <c r="AT19" s="270" t="s">
        <v>107</v>
      </c>
    </row>
    <row r="20" spans="2:46" ht="12.75" customHeight="1" x14ac:dyDescent="0.2">
      <c r="B20" s="21"/>
      <c r="C20" s="35"/>
      <c r="D20" s="96"/>
      <c r="E20" s="151"/>
      <c r="F20" s="535"/>
      <c r="G20" s="152"/>
      <c r="H20" s="1630"/>
      <c r="I20" s="1379"/>
      <c r="J20" s="152"/>
      <c r="K20" s="1631"/>
      <c r="L20" s="1293"/>
      <c r="M20" s="847">
        <v>0</v>
      </c>
      <c r="N20" s="1521">
        <v>0</v>
      </c>
      <c r="O20" s="1522" t="str">
        <f t="shared" si="1"/>
        <v/>
      </c>
      <c r="P20" s="1305">
        <f t="shared" si="2"/>
        <v>0</v>
      </c>
      <c r="Q20" s="1304">
        <v>0</v>
      </c>
      <c r="R20" s="392" t="str">
        <f t="shared" si="3"/>
        <v/>
      </c>
      <c r="S20" s="392" t="str">
        <f t="shared" si="14"/>
        <v/>
      </c>
      <c r="T20" s="393">
        <f>ROUND(IF(K20="",0,+Q20/1659*(AB20*12*(1+tab!$D$111+tab!$D$112)-tab!$D$110)*tab!$D$108),-1)</f>
        <v>0</v>
      </c>
      <c r="U20" s="1321" t="str">
        <f t="shared" si="4"/>
        <v/>
      </c>
      <c r="V20" s="376"/>
      <c r="W20" s="25"/>
      <c r="AB20" s="1314" t="str">
        <f t="shared" si="0"/>
        <v/>
      </c>
      <c r="AC20" s="1374">
        <f>tab!$D$101</f>
        <v>0.53</v>
      </c>
      <c r="AD20" s="1313" t="e">
        <f t="shared" si="5"/>
        <v>#VALUE!</v>
      </c>
      <c r="AE20" s="1313" t="e">
        <f t="shared" si="6"/>
        <v>#VALUE!</v>
      </c>
      <c r="AF20" s="1313" t="e">
        <f t="shared" si="7"/>
        <v>#VALUE!</v>
      </c>
      <c r="AG20" s="14">
        <f t="shared" si="8"/>
        <v>0</v>
      </c>
      <c r="AH20" s="1315" t="str">
        <f t="shared" si="9"/>
        <v/>
      </c>
      <c r="AI20" s="14">
        <f t="shared" si="10"/>
        <v>0</v>
      </c>
      <c r="AJ20" s="1316">
        <f t="shared" si="11"/>
        <v>0.4</v>
      </c>
      <c r="AK20" s="6">
        <f t="shared" si="12"/>
        <v>0</v>
      </c>
      <c r="AL20" s="1317">
        <f t="shared" si="13"/>
        <v>0</v>
      </c>
      <c r="AT20" s="270" t="s">
        <v>108</v>
      </c>
    </row>
    <row r="21" spans="2:46" ht="12.75" customHeight="1" x14ac:dyDescent="0.2">
      <c r="B21" s="21"/>
      <c r="C21" s="35"/>
      <c r="D21" s="96"/>
      <c r="E21" s="151"/>
      <c r="F21" s="535"/>
      <c r="G21" s="152"/>
      <c r="H21" s="1630"/>
      <c r="I21" s="1379"/>
      <c r="J21" s="152"/>
      <c r="K21" s="1631"/>
      <c r="L21" s="1293"/>
      <c r="M21" s="847">
        <v>0</v>
      </c>
      <c r="N21" s="1521">
        <v>0</v>
      </c>
      <c r="O21" s="1522" t="str">
        <f t="shared" si="1"/>
        <v/>
      </c>
      <c r="P21" s="1305">
        <f t="shared" si="2"/>
        <v>0</v>
      </c>
      <c r="Q21" s="1304">
        <v>0</v>
      </c>
      <c r="R21" s="392" t="str">
        <f t="shared" si="3"/>
        <v/>
      </c>
      <c r="S21" s="392" t="str">
        <f t="shared" si="14"/>
        <v/>
      </c>
      <c r="T21" s="393">
        <f>ROUND(IF(K21="",0,+Q21/1659*(AB21*12*(1+tab!$D$111+tab!$D$112)-tab!$D$110)*tab!$D$108),-1)</f>
        <v>0</v>
      </c>
      <c r="U21" s="1321" t="str">
        <f t="shared" si="4"/>
        <v/>
      </c>
      <c r="V21" s="376"/>
      <c r="W21" s="25"/>
      <c r="AB21" s="1314" t="str">
        <f t="shared" si="0"/>
        <v/>
      </c>
      <c r="AC21" s="1374">
        <f>tab!$D$101</f>
        <v>0.53</v>
      </c>
      <c r="AD21" s="1313" t="e">
        <f t="shared" si="5"/>
        <v>#VALUE!</v>
      </c>
      <c r="AE21" s="1313" t="e">
        <f t="shared" si="6"/>
        <v>#VALUE!</v>
      </c>
      <c r="AF21" s="1313" t="e">
        <f t="shared" si="7"/>
        <v>#VALUE!</v>
      </c>
      <c r="AG21" s="14">
        <f t="shared" si="8"/>
        <v>0</v>
      </c>
      <c r="AH21" s="1315" t="str">
        <f t="shared" si="9"/>
        <v/>
      </c>
      <c r="AI21" s="14">
        <f t="shared" si="10"/>
        <v>0</v>
      </c>
      <c r="AJ21" s="1316">
        <f t="shared" si="11"/>
        <v>0.4</v>
      </c>
      <c r="AK21" s="6">
        <f t="shared" si="12"/>
        <v>0</v>
      </c>
      <c r="AL21" s="1317">
        <f t="shared" si="13"/>
        <v>0</v>
      </c>
      <c r="AT21" s="270" t="s">
        <v>109</v>
      </c>
    </row>
    <row r="22" spans="2:46" ht="12.75" customHeight="1" x14ac:dyDescent="0.2">
      <c r="B22" s="21"/>
      <c r="C22" s="35"/>
      <c r="D22" s="96"/>
      <c r="E22" s="1378"/>
      <c r="F22" s="535"/>
      <c r="G22" s="152"/>
      <c r="H22" s="1630"/>
      <c r="I22" s="1379"/>
      <c r="J22" s="152"/>
      <c r="K22" s="1631"/>
      <c r="L22" s="1293"/>
      <c r="M22" s="847">
        <v>0</v>
      </c>
      <c r="N22" s="1521">
        <v>0</v>
      </c>
      <c r="O22" s="1522" t="str">
        <f t="shared" si="1"/>
        <v/>
      </c>
      <c r="P22" s="1305">
        <f t="shared" si="2"/>
        <v>0</v>
      </c>
      <c r="Q22" s="1304">
        <v>0</v>
      </c>
      <c r="R22" s="392" t="str">
        <f t="shared" si="3"/>
        <v/>
      </c>
      <c r="S22" s="392" t="str">
        <f t="shared" si="14"/>
        <v/>
      </c>
      <c r="T22" s="393">
        <f>ROUND(IF(K22="",0,+Q22/1659*(AB22*12*(1+tab!$D$111+tab!$D$112)-tab!$D$110)*tab!$D$108),-1)</f>
        <v>0</v>
      </c>
      <c r="U22" s="1321" t="str">
        <f t="shared" si="4"/>
        <v/>
      </c>
      <c r="V22" s="376"/>
      <c r="W22" s="25"/>
      <c r="AB22" s="1314" t="str">
        <f t="shared" si="0"/>
        <v/>
      </c>
      <c r="AC22" s="1374">
        <f>tab!$D$101</f>
        <v>0.53</v>
      </c>
      <c r="AD22" s="1313" t="e">
        <f t="shared" si="5"/>
        <v>#VALUE!</v>
      </c>
      <c r="AE22" s="1313" t="e">
        <f t="shared" si="6"/>
        <v>#VALUE!</v>
      </c>
      <c r="AF22" s="1313" t="e">
        <f t="shared" si="7"/>
        <v>#VALUE!</v>
      </c>
      <c r="AG22" s="14">
        <f t="shared" si="8"/>
        <v>0</v>
      </c>
      <c r="AH22" s="1315" t="str">
        <f t="shared" si="9"/>
        <v/>
      </c>
      <c r="AI22" s="14">
        <f t="shared" si="10"/>
        <v>0</v>
      </c>
      <c r="AJ22" s="1316">
        <f t="shared" si="11"/>
        <v>0.4</v>
      </c>
      <c r="AK22" s="6">
        <f t="shared" si="12"/>
        <v>0</v>
      </c>
      <c r="AL22" s="1317">
        <f t="shared" si="13"/>
        <v>0</v>
      </c>
      <c r="AT22" s="271">
        <v>11</v>
      </c>
    </row>
    <row r="23" spans="2:46" ht="12.75" customHeight="1" x14ac:dyDescent="0.2">
      <c r="B23" s="21"/>
      <c r="C23" s="35"/>
      <c r="D23" s="96"/>
      <c r="E23" s="151"/>
      <c r="F23" s="535"/>
      <c r="G23" s="152"/>
      <c r="H23" s="1630"/>
      <c r="I23" s="1379"/>
      <c r="J23" s="152"/>
      <c r="K23" s="1631"/>
      <c r="L23" s="1293"/>
      <c r="M23" s="847">
        <v>0</v>
      </c>
      <c r="N23" s="1521">
        <v>0</v>
      </c>
      <c r="O23" s="1522" t="str">
        <f t="shared" si="1"/>
        <v/>
      </c>
      <c r="P23" s="1305">
        <f t="shared" si="2"/>
        <v>0</v>
      </c>
      <c r="Q23" s="1304">
        <v>0</v>
      </c>
      <c r="R23" s="392" t="str">
        <f t="shared" si="3"/>
        <v/>
      </c>
      <c r="S23" s="392" t="str">
        <f t="shared" si="14"/>
        <v/>
      </c>
      <c r="T23" s="393">
        <f>ROUND(IF(K23="",0,+Q23/1659*(AB23*12*(1+tab!$D$111+tab!$D$112)-tab!$D$110)*tab!$D$108),-1)</f>
        <v>0</v>
      </c>
      <c r="U23" s="1321" t="str">
        <f t="shared" si="4"/>
        <v/>
      </c>
      <c r="V23" s="376"/>
      <c r="W23" s="25"/>
      <c r="AB23" s="1314" t="str">
        <f t="shared" si="0"/>
        <v/>
      </c>
      <c r="AC23" s="1374">
        <f>tab!$D$101</f>
        <v>0.53</v>
      </c>
      <c r="AD23" s="1313" t="e">
        <f t="shared" si="5"/>
        <v>#VALUE!</v>
      </c>
      <c r="AE23" s="1313" t="e">
        <f t="shared" si="6"/>
        <v>#VALUE!</v>
      </c>
      <c r="AF23" s="1313" t="e">
        <f t="shared" si="7"/>
        <v>#VALUE!</v>
      </c>
      <c r="AG23" s="14">
        <f t="shared" si="8"/>
        <v>0</v>
      </c>
      <c r="AH23" s="1315" t="str">
        <f t="shared" si="9"/>
        <v/>
      </c>
      <c r="AI23" s="14">
        <f t="shared" si="10"/>
        <v>0</v>
      </c>
      <c r="AJ23" s="1316">
        <f t="shared" si="11"/>
        <v>0.4</v>
      </c>
      <c r="AK23" s="6">
        <f t="shared" si="12"/>
        <v>0</v>
      </c>
      <c r="AL23" s="1317">
        <f t="shared" si="13"/>
        <v>0</v>
      </c>
      <c r="AT23" s="271">
        <v>12</v>
      </c>
    </row>
    <row r="24" spans="2:46" ht="12.75" customHeight="1" x14ac:dyDescent="0.2">
      <c r="B24" s="21"/>
      <c r="C24" s="35"/>
      <c r="D24" s="96"/>
      <c r="E24" s="151"/>
      <c r="F24" s="151"/>
      <c r="G24" s="43"/>
      <c r="H24" s="390"/>
      <c r="I24" s="1379"/>
      <c r="J24" s="43"/>
      <c r="K24" s="391"/>
      <c r="L24" s="1293"/>
      <c r="M24" s="847">
        <v>0</v>
      </c>
      <c r="N24" s="1521">
        <v>0</v>
      </c>
      <c r="O24" s="1522" t="str">
        <f t="shared" si="1"/>
        <v/>
      </c>
      <c r="P24" s="1305">
        <f t="shared" si="2"/>
        <v>0</v>
      </c>
      <c r="Q24" s="1304">
        <v>0</v>
      </c>
      <c r="R24" s="392" t="str">
        <f t="shared" si="3"/>
        <v/>
      </c>
      <c r="S24" s="392" t="str">
        <f t="shared" si="14"/>
        <v/>
      </c>
      <c r="T24" s="393">
        <f>ROUND(IF(K24="",0,+Q24/1659*(AB24*12*(1+tab!$D$111+tab!$D$112)-tab!$D$110)*tab!$D$108),-1)</f>
        <v>0</v>
      </c>
      <c r="U24" s="1321" t="str">
        <f t="shared" si="4"/>
        <v/>
      </c>
      <c r="V24" s="376"/>
      <c r="W24" s="25"/>
      <c r="AB24" s="1314" t="str">
        <f t="shared" si="0"/>
        <v/>
      </c>
      <c r="AC24" s="1374">
        <f>tab!$D$101</f>
        <v>0.53</v>
      </c>
      <c r="AD24" s="1313" t="e">
        <f t="shared" si="5"/>
        <v>#VALUE!</v>
      </c>
      <c r="AE24" s="1313" t="e">
        <f t="shared" si="6"/>
        <v>#VALUE!</v>
      </c>
      <c r="AF24" s="1313" t="e">
        <f t="shared" si="7"/>
        <v>#VALUE!</v>
      </c>
      <c r="AG24" s="14">
        <f t="shared" si="8"/>
        <v>0</v>
      </c>
      <c r="AH24" s="1315" t="str">
        <f t="shared" si="9"/>
        <v/>
      </c>
      <c r="AI24" s="14">
        <f t="shared" si="10"/>
        <v>0</v>
      </c>
      <c r="AJ24" s="1316">
        <f t="shared" si="11"/>
        <v>0.4</v>
      </c>
      <c r="AK24" s="6">
        <f t="shared" si="12"/>
        <v>0</v>
      </c>
      <c r="AL24" s="1317">
        <f t="shared" si="13"/>
        <v>0</v>
      </c>
      <c r="AT24" s="271">
        <v>13</v>
      </c>
    </row>
    <row r="25" spans="2:46" ht="12.75" customHeight="1" x14ac:dyDescent="0.2">
      <c r="B25" s="21"/>
      <c r="C25" s="35"/>
      <c r="D25" s="96"/>
      <c r="E25" s="151"/>
      <c r="F25" s="151"/>
      <c r="G25" s="43"/>
      <c r="H25" s="390"/>
      <c r="I25" s="1379"/>
      <c r="J25" s="43"/>
      <c r="K25" s="391"/>
      <c r="L25" s="1293"/>
      <c r="M25" s="847">
        <v>0</v>
      </c>
      <c r="N25" s="1521">
        <v>0</v>
      </c>
      <c r="O25" s="1522" t="str">
        <f t="shared" si="1"/>
        <v/>
      </c>
      <c r="P25" s="1305">
        <f t="shared" si="2"/>
        <v>0</v>
      </c>
      <c r="Q25" s="1304">
        <v>0</v>
      </c>
      <c r="R25" s="392" t="str">
        <f t="shared" si="3"/>
        <v/>
      </c>
      <c r="S25" s="392" t="str">
        <f t="shared" si="14"/>
        <v/>
      </c>
      <c r="T25" s="393">
        <f>ROUND(IF(K25="",0,+Q25/1659*(AB25*12*(1+tab!$D$111+tab!$D$112)-tab!$D$110)*tab!$D$108),-1)</f>
        <v>0</v>
      </c>
      <c r="U25" s="1321" t="str">
        <f t="shared" si="4"/>
        <v/>
      </c>
      <c r="V25" s="376"/>
      <c r="W25" s="25"/>
      <c r="AB25" s="1314" t="str">
        <f t="shared" si="0"/>
        <v/>
      </c>
      <c r="AC25" s="1374">
        <f>tab!$D$101</f>
        <v>0.53</v>
      </c>
      <c r="AD25" s="1313" t="e">
        <f t="shared" si="5"/>
        <v>#VALUE!</v>
      </c>
      <c r="AE25" s="1313" t="e">
        <f t="shared" si="6"/>
        <v>#VALUE!</v>
      </c>
      <c r="AF25" s="1313" t="e">
        <f t="shared" si="7"/>
        <v>#VALUE!</v>
      </c>
      <c r="AG25" s="14">
        <f t="shared" si="8"/>
        <v>0</v>
      </c>
      <c r="AH25" s="1315" t="str">
        <f t="shared" si="9"/>
        <v/>
      </c>
      <c r="AI25" s="14">
        <f t="shared" si="10"/>
        <v>0</v>
      </c>
      <c r="AJ25" s="1316">
        <f t="shared" si="11"/>
        <v>0.4</v>
      </c>
      <c r="AK25" s="6">
        <f t="shared" si="12"/>
        <v>0</v>
      </c>
      <c r="AL25" s="1317">
        <f t="shared" si="13"/>
        <v>0</v>
      </c>
      <c r="AT25" s="271">
        <v>14</v>
      </c>
    </row>
    <row r="26" spans="2:46" ht="12.75" customHeight="1" x14ac:dyDescent="0.2">
      <c r="B26" s="21"/>
      <c r="C26" s="35"/>
      <c r="D26" s="96"/>
      <c r="E26" s="151"/>
      <c r="F26" s="151"/>
      <c r="G26" s="43"/>
      <c r="H26" s="390"/>
      <c r="I26" s="1379"/>
      <c r="J26" s="43"/>
      <c r="K26" s="391"/>
      <c r="L26" s="1293"/>
      <c r="M26" s="847">
        <v>0</v>
      </c>
      <c r="N26" s="1521">
        <v>0</v>
      </c>
      <c r="O26" s="1522" t="str">
        <f t="shared" si="1"/>
        <v/>
      </c>
      <c r="P26" s="1305">
        <f t="shared" si="2"/>
        <v>0</v>
      </c>
      <c r="Q26" s="1304">
        <v>0</v>
      </c>
      <c r="R26" s="392" t="str">
        <f t="shared" si="3"/>
        <v/>
      </c>
      <c r="S26" s="392" t="str">
        <f t="shared" si="14"/>
        <v/>
      </c>
      <c r="T26" s="393">
        <f>ROUND(IF(K26="",0,+Q26/1659*(AB26*12*(1+tab!$D$111+tab!$D$112)-tab!$D$110)*tab!$D$108),-1)</f>
        <v>0</v>
      </c>
      <c r="U26" s="1321" t="str">
        <f t="shared" si="4"/>
        <v/>
      </c>
      <c r="V26" s="376"/>
      <c r="W26" s="25"/>
      <c r="AB26" s="1314" t="str">
        <f t="shared" si="0"/>
        <v/>
      </c>
      <c r="AC26" s="1374">
        <f>tab!$D$101</f>
        <v>0.53</v>
      </c>
      <c r="AD26" s="1313" t="e">
        <f t="shared" si="5"/>
        <v>#VALUE!</v>
      </c>
      <c r="AE26" s="1313" t="e">
        <f t="shared" si="6"/>
        <v>#VALUE!</v>
      </c>
      <c r="AF26" s="1313" t="e">
        <f t="shared" si="7"/>
        <v>#VALUE!</v>
      </c>
      <c r="AG26" s="14">
        <f t="shared" si="8"/>
        <v>0</v>
      </c>
      <c r="AH26" s="1315" t="str">
        <f t="shared" si="9"/>
        <v/>
      </c>
      <c r="AI26" s="14">
        <f t="shared" si="10"/>
        <v>0</v>
      </c>
      <c r="AJ26" s="1316">
        <f t="shared" si="11"/>
        <v>0.4</v>
      </c>
      <c r="AK26" s="6">
        <f t="shared" si="12"/>
        <v>0</v>
      </c>
      <c r="AL26" s="1317">
        <f t="shared" si="13"/>
        <v>0</v>
      </c>
      <c r="AT26" s="271" t="s">
        <v>114</v>
      </c>
    </row>
    <row r="27" spans="2:46" ht="12.75" customHeight="1" x14ac:dyDescent="0.2">
      <c r="B27" s="21"/>
      <c r="C27" s="35"/>
      <c r="D27" s="96"/>
      <c r="E27" s="151"/>
      <c r="F27" s="151"/>
      <c r="G27" s="43"/>
      <c r="H27" s="390"/>
      <c r="I27" s="1379"/>
      <c r="J27" s="43"/>
      <c r="K27" s="391"/>
      <c r="L27" s="1293"/>
      <c r="M27" s="847">
        <v>0</v>
      </c>
      <c r="N27" s="1521">
        <v>0</v>
      </c>
      <c r="O27" s="1522" t="str">
        <f t="shared" si="1"/>
        <v/>
      </c>
      <c r="P27" s="1305">
        <f t="shared" si="2"/>
        <v>0</v>
      </c>
      <c r="Q27" s="1304">
        <v>0</v>
      </c>
      <c r="R27" s="392" t="str">
        <f t="shared" si="3"/>
        <v/>
      </c>
      <c r="S27" s="392" t="str">
        <f t="shared" si="14"/>
        <v/>
      </c>
      <c r="T27" s="393">
        <f>ROUND(IF(K27="",0,+Q27/1659*(AB27*12*(1+tab!$D$111+tab!$D$112)-tab!$D$110)*tab!$D$108),-1)</f>
        <v>0</v>
      </c>
      <c r="U27" s="1321" t="str">
        <f t="shared" si="4"/>
        <v/>
      </c>
      <c r="V27" s="376"/>
      <c r="W27" s="25"/>
      <c r="AB27" s="1314" t="str">
        <f t="shared" si="0"/>
        <v/>
      </c>
      <c r="AC27" s="1374">
        <f>tab!$D$101</f>
        <v>0.53</v>
      </c>
      <c r="AD27" s="1313" t="e">
        <f t="shared" si="5"/>
        <v>#VALUE!</v>
      </c>
      <c r="AE27" s="1313" t="e">
        <f t="shared" si="6"/>
        <v>#VALUE!</v>
      </c>
      <c r="AF27" s="1313" t="e">
        <f t="shared" si="7"/>
        <v>#VALUE!</v>
      </c>
      <c r="AG27" s="14">
        <f t="shared" si="8"/>
        <v>0</v>
      </c>
      <c r="AH27" s="1315" t="str">
        <f t="shared" si="9"/>
        <v/>
      </c>
      <c r="AI27" s="14">
        <f t="shared" si="10"/>
        <v>0</v>
      </c>
      <c r="AJ27" s="1316">
        <f t="shared" si="11"/>
        <v>0.4</v>
      </c>
      <c r="AK27" s="6">
        <f t="shared" si="12"/>
        <v>0</v>
      </c>
      <c r="AL27" s="1317">
        <f t="shared" si="13"/>
        <v>0</v>
      </c>
      <c r="AT27" s="271"/>
    </row>
    <row r="28" spans="2:46" ht="12.75" customHeight="1" x14ac:dyDescent="0.2">
      <c r="B28" s="21"/>
      <c r="C28" s="35"/>
      <c r="D28" s="96"/>
      <c r="E28" s="151"/>
      <c r="F28" s="151"/>
      <c r="G28" s="43"/>
      <c r="H28" s="390"/>
      <c r="I28" s="1379"/>
      <c r="J28" s="43"/>
      <c r="K28" s="391"/>
      <c r="L28" s="1293"/>
      <c r="M28" s="847">
        <v>0</v>
      </c>
      <c r="N28" s="1521">
        <v>0</v>
      </c>
      <c r="O28" s="1522" t="str">
        <f t="shared" si="1"/>
        <v/>
      </c>
      <c r="P28" s="1305">
        <f t="shared" si="2"/>
        <v>0</v>
      </c>
      <c r="Q28" s="1304">
        <v>0</v>
      </c>
      <c r="R28" s="392" t="str">
        <f t="shared" si="3"/>
        <v/>
      </c>
      <c r="S28" s="392" t="str">
        <f t="shared" si="14"/>
        <v/>
      </c>
      <c r="T28" s="393">
        <f>ROUND(IF(K28="",0,+Q28/1659*(AB28*12*(1+tab!$D$111+tab!$D$112)-tab!$D$110)*tab!$D$108),-1)</f>
        <v>0</v>
      </c>
      <c r="U28" s="1321" t="str">
        <f t="shared" si="4"/>
        <v/>
      </c>
      <c r="V28" s="376"/>
      <c r="W28" s="25"/>
      <c r="AB28" s="1314" t="str">
        <f t="shared" si="0"/>
        <v/>
      </c>
      <c r="AC28" s="1374">
        <f>tab!$D$101</f>
        <v>0.53</v>
      </c>
      <c r="AD28" s="1313" t="e">
        <f t="shared" si="5"/>
        <v>#VALUE!</v>
      </c>
      <c r="AE28" s="1313" t="e">
        <f t="shared" si="6"/>
        <v>#VALUE!</v>
      </c>
      <c r="AF28" s="1313" t="e">
        <f t="shared" si="7"/>
        <v>#VALUE!</v>
      </c>
      <c r="AG28" s="14">
        <f t="shared" si="8"/>
        <v>0</v>
      </c>
      <c r="AH28" s="1315" t="str">
        <f t="shared" si="9"/>
        <v/>
      </c>
      <c r="AI28" s="14">
        <f t="shared" si="10"/>
        <v>0</v>
      </c>
      <c r="AJ28" s="1316">
        <f t="shared" si="11"/>
        <v>0.4</v>
      </c>
      <c r="AK28" s="6">
        <f t="shared" si="12"/>
        <v>0</v>
      </c>
      <c r="AL28" s="1317">
        <f t="shared" si="13"/>
        <v>0</v>
      </c>
      <c r="AT28" s="271"/>
    </row>
    <row r="29" spans="2:46" ht="12.75" customHeight="1" x14ac:dyDescent="0.2">
      <c r="B29" s="21"/>
      <c r="C29" s="35"/>
      <c r="D29" s="96"/>
      <c r="E29" s="151"/>
      <c r="F29" s="151"/>
      <c r="G29" s="43"/>
      <c r="H29" s="390"/>
      <c r="I29" s="1379"/>
      <c r="J29" s="43"/>
      <c r="K29" s="391"/>
      <c r="L29" s="1293"/>
      <c r="M29" s="847">
        <v>0</v>
      </c>
      <c r="N29" s="1521">
        <v>0</v>
      </c>
      <c r="O29" s="1522" t="str">
        <f t="shared" si="1"/>
        <v/>
      </c>
      <c r="P29" s="1305">
        <f t="shared" si="2"/>
        <v>0</v>
      </c>
      <c r="Q29" s="1304">
        <v>0</v>
      </c>
      <c r="R29" s="392" t="str">
        <f t="shared" si="3"/>
        <v/>
      </c>
      <c r="S29" s="392" t="str">
        <f t="shared" si="14"/>
        <v/>
      </c>
      <c r="T29" s="393">
        <f>ROUND(IF(K29="",0,+Q29/1659*(AB29*12*(1+tab!$D$111+tab!$D$112)-tab!$D$110)*tab!$D$108),-1)</f>
        <v>0</v>
      </c>
      <c r="U29" s="1321" t="str">
        <f t="shared" si="4"/>
        <v/>
      </c>
      <c r="V29" s="376"/>
      <c r="W29" s="25"/>
      <c r="AB29" s="1314" t="str">
        <f t="shared" si="0"/>
        <v/>
      </c>
      <c r="AC29" s="1374">
        <f>tab!$D$101</f>
        <v>0.53</v>
      </c>
      <c r="AD29" s="1313" t="e">
        <f t="shared" si="5"/>
        <v>#VALUE!</v>
      </c>
      <c r="AE29" s="1313" t="e">
        <f t="shared" si="6"/>
        <v>#VALUE!</v>
      </c>
      <c r="AF29" s="1313" t="e">
        <f t="shared" si="7"/>
        <v>#VALUE!</v>
      </c>
      <c r="AG29" s="14">
        <f t="shared" si="8"/>
        <v>0</v>
      </c>
      <c r="AH29" s="1315" t="str">
        <f t="shared" si="9"/>
        <v/>
      </c>
      <c r="AI29" s="14">
        <f t="shared" si="10"/>
        <v>0</v>
      </c>
      <c r="AJ29" s="1316">
        <f t="shared" si="11"/>
        <v>0.4</v>
      </c>
      <c r="AK29" s="6">
        <f t="shared" si="12"/>
        <v>0</v>
      </c>
      <c r="AL29" s="1317">
        <f t="shared" si="13"/>
        <v>0</v>
      </c>
      <c r="AT29" s="271"/>
    </row>
    <row r="30" spans="2:46" ht="12.75" customHeight="1" x14ac:dyDescent="0.2">
      <c r="B30" s="21"/>
      <c r="C30" s="35"/>
      <c r="D30" s="96"/>
      <c r="E30" s="151"/>
      <c r="F30" s="151"/>
      <c r="G30" s="43"/>
      <c r="H30" s="390"/>
      <c r="I30" s="1379"/>
      <c r="J30" s="43"/>
      <c r="K30" s="391"/>
      <c r="L30" s="1293"/>
      <c r="M30" s="847">
        <v>0</v>
      </c>
      <c r="N30" s="1521">
        <v>0</v>
      </c>
      <c r="O30" s="1522" t="str">
        <f t="shared" si="1"/>
        <v/>
      </c>
      <c r="P30" s="1305">
        <f t="shared" si="2"/>
        <v>0</v>
      </c>
      <c r="Q30" s="1304">
        <v>0</v>
      </c>
      <c r="R30" s="392" t="str">
        <f t="shared" si="3"/>
        <v/>
      </c>
      <c r="S30" s="392" t="str">
        <f t="shared" si="14"/>
        <v/>
      </c>
      <c r="T30" s="393">
        <f>ROUND(IF(K30="",0,+Q30/1659*(AB30*12*(1+tab!$D$111+tab!$D$112)-tab!$D$110)*tab!$D$108),-1)</f>
        <v>0</v>
      </c>
      <c r="U30" s="1321" t="str">
        <f t="shared" si="4"/>
        <v/>
      </c>
      <c r="V30" s="376"/>
      <c r="W30" s="25"/>
      <c r="AB30" s="1314" t="str">
        <f t="shared" si="0"/>
        <v/>
      </c>
      <c r="AC30" s="1374">
        <f>tab!$D$101</f>
        <v>0.53</v>
      </c>
      <c r="AD30" s="1313" t="e">
        <f t="shared" si="5"/>
        <v>#VALUE!</v>
      </c>
      <c r="AE30" s="1313" t="e">
        <f t="shared" si="6"/>
        <v>#VALUE!</v>
      </c>
      <c r="AF30" s="1313" t="e">
        <f t="shared" si="7"/>
        <v>#VALUE!</v>
      </c>
      <c r="AG30" s="14">
        <f t="shared" si="8"/>
        <v>0</v>
      </c>
      <c r="AH30" s="1315" t="str">
        <f t="shared" si="9"/>
        <v/>
      </c>
      <c r="AI30" s="14">
        <f t="shared" si="10"/>
        <v>0</v>
      </c>
      <c r="AJ30" s="1316">
        <f t="shared" si="11"/>
        <v>0.4</v>
      </c>
      <c r="AK30" s="6">
        <f t="shared" si="12"/>
        <v>0</v>
      </c>
      <c r="AL30" s="1317">
        <f t="shared" si="13"/>
        <v>0</v>
      </c>
      <c r="AT30" s="271"/>
    </row>
    <row r="31" spans="2:46" ht="12.75" customHeight="1" x14ac:dyDescent="0.2">
      <c r="B31" s="21"/>
      <c r="C31" s="35"/>
      <c r="D31" s="96"/>
      <c r="E31" s="151"/>
      <c r="F31" s="151"/>
      <c r="G31" s="43"/>
      <c r="H31" s="390"/>
      <c r="I31" s="1379"/>
      <c r="J31" s="43"/>
      <c r="K31" s="391"/>
      <c r="L31" s="1293"/>
      <c r="M31" s="847">
        <v>0</v>
      </c>
      <c r="N31" s="1521">
        <v>0</v>
      </c>
      <c r="O31" s="1522" t="str">
        <f t="shared" si="1"/>
        <v/>
      </c>
      <c r="P31" s="1305">
        <f t="shared" si="2"/>
        <v>0</v>
      </c>
      <c r="Q31" s="1304">
        <v>0</v>
      </c>
      <c r="R31" s="392" t="str">
        <f t="shared" si="3"/>
        <v/>
      </c>
      <c r="S31" s="392" t="str">
        <f t="shared" si="14"/>
        <v/>
      </c>
      <c r="T31" s="393">
        <f>ROUND(IF(K31="",0,+Q31/1659*(AB31*12*(1+tab!$D$111+tab!$D$112)-tab!$D$110)*tab!$D$108),-1)</f>
        <v>0</v>
      </c>
      <c r="U31" s="1321" t="str">
        <f t="shared" si="4"/>
        <v/>
      </c>
      <c r="V31" s="376"/>
      <c r="W31" s="25"/>
      <c r="AB31" s="1314" t="str">
        <f t="shared" si="0"/>
        <v/>
      </c>
      <c r="AC31" s="1374">
        <f>tab!$D$101</f>
        <v>0.53</v>
      </c>
      <c r="AD31" s="1313" t="e">
        <f t="shared" si="5"/>
        <v>#VALUE!</v>
      </c>
      <c r="AE31" s="1313" t="e">
        <f t="shared" si="6"/>
        <v>#VALUE!</v>
      </c>
      <c r="AF31" s="1313" t="e">
        <f t="shared" si="7"/>
        <v>#VALUE!</v>
      </c>
      <c r="AG31" s="14">
        <f t="shared" si="8"/>
        <v>0</v>
      </c>
      <c r="AH31" s="1315" t="str">
        <f t="shared" si="9"/>
        <v/>
      </c>
      <c r="AI31" s="14">
        <f t="shared" si="10"/>
        <v>0</v>
      </c>
      <c r="AJ31" s="1316">
        <f t="shared" si="11"/>
        <v>0.4</v>
      </c>
      <c r="AK31" s="6">
        <f t="shared" si="12"/>
        <v>0</v>
      </c>
      <c r="AL31" s="1317">
        <f t="shared" si="13"/>
        <v>0</v>
      </c>
      <c r="AT31" s="271"/>
    </row>
    <row r="32" spans="2:46" ht="12.75" customHeight="1" x14ac:dyDescent="0.2">
      <c r="B32" s="21"/>
      <c r="C32" s="35"/>
      <c r="D32" s="96"/>
      <c r="E32" s="151"/>
      <c r="F32" s="151"/>
      <c r="G32" s="43"/>
      <c r="H32" s="390"/>
      <c r="I32" s="1379"/>
      <c r="J32" s="43"/>
      <c r="K32" s="391"/>
      <c r="L32" s="1293"/>
      <c r="M32" s="847">
        <v>0</v>
      </c>
      <c r="N32" s="1521">
        <v>0</v>
      </c>
      <c r="O32" s="1522" t="str">
        <f t="shared" si="1"/>
        <v/>
      </c>
      <c r="P32" s="1305">
        <f t="shared" si="2"/>
        <v>0</v>
      </c>
      <c r="Q32" s="1304">
        <v>0</v>
      </c>
      <c r="R32" s="392" t="str">
        <f t="shared" si="3"/>
        <v/>
      </c>
      <c r="S32" s="392" t="str">
        <f t="shared" si="14"/>
        <v/>
      </c>
      <c r="T32" s="393">
        <f>ROUND(IF(K32="",0,+Q32/1659*(AB32*12*(1+tab!$D$111+tab!$D$112)-tab!$D$110)*tab!$D$108),-1)</f>
        <v>0</v>
      </c>
      <c r="U32" s="1321" t="str">
        <f t="shared" si="4"/>
        <v/>
      </c>
      <c r="V32" s="376"/>
      <c r="W32" s="25"/>
      <c r="AB32" s="1314" t="str">
        <f t="shared" si="0"/>
        <v/>
      </c>
      <c r="AC32" s="1374">
        <f>tab!$D$101</f>
        <v>0.53</v>
      </c>
      <c r="AD32" s="1313" t="e">
        <f t="shared" si="5"/>
        <v>#VALUE!</v>
      </c>
      <c r="AE32" s="1313" t="e">
        <f t="shared" si="6"/>
        <v>#VALUE!</v>
      </c>
      <c r="AF32" s="1313" t="e">
        <f t="shared" si="7"/>
        <v>#VALUE!</v>
      </c>
      <c r="AG32" s="14">
        <f t="shared" si="8"/>
        <v>0</v>
      </c>
      <c r="AH32" s="1315" t="str">
        <f t="shared" si="9"/>
        <v/>
      </c>
      <c r="AI32" s="14">
        <f t="shared" si="10"/>
        <v>0</v>
      </c>
      <c r="AJ32" s="1316">
        <f t="shared" si="11"/>
        <v>0.4</v>
      </c>
      <c r="AK32" s="6">
        <f t="shared" si="12"/>
        <v>0</v>
      </c>
      <c r="AL32" s="1317">
        <f t="shared" si="13"/>
        <v>0</v>
      </c>
      <c r="AT32" s="271"/>
    </row>
    <row r="33" spans="2:46" ht="12.75" customHeight="1" x14ac:dyDescent="0.2">
      <c r="B33" s="21"/>
      <c r="C33" s="35"/>
      <c r="D33" s="96"/>
      <c r="E33" s="151"/>
      <c r="F33" s="151"/>
      <c r="G33" s="43"/>
      <c r="H33" s="390"/>
      <c r="I33" s="1379"/>
      <c r="J33" s="43"/>
      <c r="K33" s="391"/>
      <c r="L33" s="1293"/>
      <c r="M33" s="847">
        <v>0</v>
      </c>
      <c r="N33" s="1521">
        <v>0</v>
      </c>
      <c r="O33" s="1522" t="str">
        <f t="shared" si="1"/>
        <v/>
      </c>
      <c r="P33" s="1305">
        <f t="shared" si="2"/>
        <v>0</v>
      </c>
      <c r="Q33" s="1304">
        <v>0</v>
      </c>
      <c r="R33" s="392" t="str">
        <f t="shared" si="3"/>
        <v/>
      </c>
      <c r="S33" s="392" t="str">
        <f t="shared" si="14"/>
        <v/>
      </c>
      <c r="T33" s="393">
        <f>ROUND(IF(K33="",0,+Q33/1659*(AB33*12*(1+tab!$D$111+tab!$D$112)-tab!$D$110)*tab!$D$108),-1)</f>
        <v>0</v>
      </c>
      <c r="U33" s="1321" t="str">
        <f t="shared" si="4"/>
        <v/>
      </c>
      <c r="V33" s="376"/>
      <c r="W33" s="25"/>
      <c r="AB33" s="1314" t="str">
        <f t="shared" si="0"/>
        <v/>
      </c>
      <c r="AC33" s="1374">
        <f>tab!$D$101</f>
        <v>0.53</v>
      </c>
      <c r="AD33" s="1313" t="e">
        <f t="shared" si="5"/>
        <v>#VALUE!</v>
      </c>
      <c r="AE33" s="1313" t="e">
        <f t="shared" si="6"/>
        <v>#VALUE!</v>
      </c>
      <c r="AF33" s="1313" t="e">
        <f t="shared" si="7"/>
        <v>#VALUE!</v>
      </c>
      <c r="AG33" s="14">
        <f t="shared" si="8"/>
        <v>0</v>
      </c>
      <c r="AH33" s="1315" t="str">
        <f t="shared" si="9"/>
        <v/>
      </c>
      <c r="AI33" s="14">
        <f t="shared" si="10"/>
        <v>0</v>
      </c>
      <c r="AJ33" s="1316">
        <f t="shared" si="11"/>
        <v>0.4</v>
      </c>
      <c r="AK33" s="6">
        <f t="shared" si="12"/>
        <v>0</v>
      </c>
      <c r="AL33" s="1317">
        <f t="shared" si="13"/>
        <v>0</v>
      </c>
      <c r="AT33" s="271"/>
    </row>
    <row r="34" spans="2:46" ht="12.75" customHeight="1" x14ac:dyDescent="0.2">
      <c r="B34" s="21"/>
      <c r="C34" s="35"/>
      <c r="D34" s="96"/>
      <c r="E34" s="151"/>
      <c r="F34" s="151"/>
      <c r="G34" s="43"/>
      <c r="H34" s="390"/>
      <c r="I34" s="1379"/>
      <c r="J34" s="43"/>
      <c r="K34" s="391"/>
      <c r="L34" s="1293"/>
      <c r="M34" s="847">
        <v>0</v>
      </c>
      <c r="N34" s="1521">
        <v>0</v>
      </c>
      <c r="O34" s="1522" t="str">
        <f t="shared" si="1"/>
        <v/>
      </c>
      <c r="P34" s="1305">
        <f t="shared" si="2"/>
        <v>0</v>
      </c>
      <c r="Q34" s="1304">
        <v>0</v>
      </c>
      <c r="R34" s="392" t="str">
        <f t="shared" si="3"/>
        <v/>
      </c>
      <c r="S34" s="392" t="str">
        <f t="shared" si="14"/>
        <v/>
      </c>
      <c r="T34" s="393">
        <f>ROUND(IF(K34="",0,+Q34/1659*(AB34*12*(1+tab!$D$111+tab!$D$112)-tab!$D$110)*tab!$D$108),-1)</f>
        <v>0</v>
      </c>
      <c r="U34" s="1321" t="str">
        <f t="shared" si="4"/>
        <v/>
      </c>
      <c r="V34" s="376"/>
      <c r="W34" s="25"/>
      <c r="AB34" s="1314" t="str">
        <f t="shared" si="0"/>
        <v/>
      </c>
      <c r="AC34" s="1374">
        <f>tab!$D$101</f>
        <v>0.53</v>
      </c>
      <c r="AD34" s="1313" t="e">
        <f t="shared" si="5"/>
        <v>#VALUE!</v>
      </c>
      <c r="AE34" s="1313" t="e">
        <f t="shared" si="6"/>
        <v>#VALUE!</v>
      </c>
      <c r="AF34" s="1313" t="e">
        <f t="shared" si="7"/>
        <v>#VALUE!</v>
      </c>
      <c r="AG34" s="14">
        <f t="shared" si="8"/>
        <v>0</v>
      </c>
      <c r="AH34" s="1315" t="str">
        <f t="shared" si="9"/>
        <v/>
      </c>
      <c r="AI34" s="14">
        <f t="shared" si="10"/>
        <v>0</v>
      </c>
      <c r="AJ34" s="1316">
        <f t="shared" si="11"/>
        <v>0.4</v>
      </c>
      <c r="AK34" s="6">
        <f t="shared" si="12"/>
        <v>0</v>
      </c>
      <c r="AL34" s="1317">
        <f t="shared" si="13"/>
        <v>0</v>
      </c>
      <c r="AT34" s="271"/>
    </row>
    <row r="35" spans="2:46" ht="12.75" customHeight="1" x14ac:dyDescent="0.2">
      <c r="B35" s="21"/>
      <c r="C35" s="35"/>
      <c r="D35" s="377"/>
      <c r="E35" s="377"/>
      <c r="F35" s="377"/>
      <c r="G35" s="192"/>
      <c r="H35" s="378"/>
      <c r="I35" s="192"/>
      <c r="J35" s="379"/>
      <c r="K35" s="394">
        <f>SUM(K15:K34)</f>
        <v>0</v>
      </c>
      <c r="L35" s="1284"/>
      <c r="M35" s="1303">
        <f>SUM(M15:M34)</f>
        <v>0</v>
      </c>
      <c r="N35" s="1303">
        <f t="shared" ref="N35:U35" si="15">SUM(N15:N34)</f>
        <v>0</v>
      </c>
      <c r="O35" s="1303">
        <f t="shared" si="15"/>
        <v>0</v>
      </c>
      <c r="P35" s="1303">
        <f t="shared" si="15"/>
        <v>0</v>
      </c>
      <c r="Q35" s="1303">
        <f t="shared" si="15"/>
        <v>0</v>
      </c>
      <c r="R35" s="1319">
        <f t="shared" si="15"/>
        <v>0</v>
      </c>
      <c r="S35" s="1319">
        <f t="shared" si="15"/>
        <v>0</v>
      </c>
      <c r="T35" s="1319">
        <f t="shared" si="15"/>
        <v>0</v>
      </c>
      <c r="U35" s="1320">
        <f t="shared" si="15"/>
        <v>0</v>
      </c>
      <c r="V35" s="361"/>
      <c r="W35" s="25"/>
      <c r="AB35" s="1314">
        <f>SUM(AB15:AB34)</f>
        <v>0</v>
      </c>
      <c r="AD35" s="232">
        <f t="shared" si="5"/>
        <v>0</v>
      </c>
      <c r="AL35" s="1317">
        <f>SUM(AL15:AL34)</f>
        <v>0</v>
      </c>
      <c r="AT35" s="271"/>
    </row>
    <row r="36" spans="2:46" ht="12.75" customHeight="1" x14ac:dyDescent="0.2">
      <c r="B36" s="21"/>
      <c r="C36" s="35"/>
      <c r="D36" s="187"/>
      <c r="E36" s="187"/>
      <c r="F36" s="187"/>
      <c r="G36" s="186"/>
      <c r="H36" s="193"/>
      <c r="I36" s="186"/>
      <c r="J36" s="361"/>
      <c r="K36" s="362"/>
      <c r="L36" s="1290"/>
      <c r="M36" s="362"/>
      <c r="N36" s="361"/>
      <c r="O36" s="361"/>
      <c r="P36" s="380"/>
      <c r="Q36" s="380"/>
      <c r="R36" s="380"/>
      <c r="S36" s="380"/>
      <c r="T36" s="365"/>
      <c r="U36" s="381"/>
      <c r="V36" s="361"/>
      <c r="W36" s="25"/>
    </row>
    <row r="37" spans="2:46" ht="12.75" customHeight="1" x14ac:dyDescent="0.2">
      <c r="B37" s="21"/>
      <c r="C37" s="22"/>
      <c r="D37" s="297"/>
      <c r="E37" s="297"/>
      <c r="F37" s="297"/>
      <c r="G37" s="24"/>
      <c r="H37" s="298"/>
      <c r="I37" s="24"/>
      <c r="J37" s="299"/>
      <c r="K37" s="347"/>
      <c r="L37" s="1318"/>
      <c r="M37" s="300"/>
      <c r="N37" s="22"/>
      <c r="O37" s="348"/>
      <c r="P37" s="349"/>
      <c r="Q37" s="349"/>
      <c r="R37" s="349"/>
      <c r="S37" s="349"/>
      <c r="T37" s="350"/>
      <c r="U37" s="351"/>
      <c r="V37" s="22"/>
      <c r="W37" s="25"/>
    </row>
    <row r="38" spans="2:46" ht="12.75" customHeight="1" x14ac:dyDescent="0.2">
      <c r="B38" s="21"/>
      <c r="C38" s="22"/>
      <c r="D38" s="297"/>
      <c r="E38" s="297"/>
      <c r="F38" s="297"/>
      <c r="G38" s="24"/>
      <c r="H38" s="298"/>
      <c r="I38" s="24"/>
      <c r="J38" s="299"/>
      <c r="K38" s="347"/>
      <c r="L38" s="1318"/>
      <c r="M38" s="300"/>
      <c r="N38" s="22"/>
      <c r="O38" s="348"/>
      <c r="P38" s="349"/>
      <c r="Q38" s="349"/>
      <c r="R38" s="349"/>
      <c r="S38" s="349"/>
      <c r="T38" s="350"/>
      <c r="U38" s="351"/>
      <c r="V38" s="22"/>
      <c r="W38" s="895"/>
    </row>
    <row r="39" spans="2:46" s="249" customFormat="1" ht="12.75" customHeight="1" x14ac:dyDescent="0.25">
      <c r="B39" s="330"/>
      <c r="C39" s="22" t="s">
        <v>145</v>
      </c>
      <c r="D39" s="297"/>
      <c r="E39" s="343" t="str">
        <f>tab!E2</f>
        <v>2015/16</v>
      </c>
      <c r="F39" s="333"/>
      <c r="G39" s="334"/>
      <c r="H39" s="335"/>
      <c r="I39" s="336"/>
      <c r="J39" s="336"/>
      <c r="K39" s="337"/>
      <c r="L39" s="1302"/>
      <c r="M39" s="338"/>
      <c r="N39" s="331"/>
      <c r="O39" s="339"/>
      <c r="P39" s="331"/>
      <c r="Q39" s="331"/>
      <c r="R39" s="331"/>
      <c r="S39" s="331"/>
      <c r="T39" s="340"/>
      <c r="U39" s="341"/>
      <c r="V39" s="331"/>
      <c r="W39" s="342"/>
      <c r="AC39" s="253"/>
      <c r="AD39" s="254"/>
      <c r="AE39" s="253"/>
      <c r="AF39" s="253"/>
      <c r="AG39" s="253"/>
      <c r="AH39" s="253"/>
      <c r="AI39" s="251"/>
      <c r="AJ39" s="250"/>
      <c r="AK39" s="252"/>
      <c r="AL39" s="255"/>
      <c r="AM39" s="251"/>
    </row>
    <row r="40" spans="2:46" ht="12.75" customHeight="1" x14ac:dyDescent="0.2">
      <c r="B40" s="21"/>
      <c r="C40" s="22" t="s">
        <v>146</v>
      </c>
      <c r="D40" s="297"/>
      <c r="E40" s="343">
        <f>tab!F3</f>
        <v>42278</v>
      </c>
      <c r="F40" s="53"/>
      <c r="G40" s="54"/>
      <c r="H40" s="344"/>
      <c r="I40" s="299"/>
      <c r="J40" s="299"/>
      <c r="K40" s="300"/>
      <c r="L40" s="1299"/>
      <c r="M40" s="301"/>
      <c r="N40" s="22"/>
      <c r="O40" s="302"/>
      <c r="P40" s="22"/>
      <c r="Q40" s="22"/>
      <c r="R40" s="22"/>
      <c r="S40" s="22"/>
      <c r="T40" s="303"/>
      <c r="U40" s="304"/>
      <c r="V40" s="22"/>
      <c r="W40" s="25"/>
      <c r="AC40" s="247"/>
      <c r="AD40" s="248"/>
      <c r="AE40" s="247"/>
      <c r="AF40" s="247"/>
      <c r="AG40" s="247"/>
      <c r="AH40" s="247"/>
      <c r="AI40" s="226"/>
      <c r="AJ40" s="225"/>
      <c r="AK40" s="227"/>
      <c r="AL40" s="14"/>
      <c r="AM40" s="226"/>
    </row>
    <row r="41" spans="2:46" ht="12.75" customHeight="1" x14ac:dyDescent="0.25">
      <c r="B41" s="21"/>
      <c r="C41" s="480" t="s">
        <v>548</v>
      </c>
      <c r="D41" s="332"/>
      <c r="E41" s="345"/>
      <c r="F41" s="53"/>
      <c r="G41" s="54"/>
      <c r="H41" s="344"/>
      <c r="I41" s="299"/>
      <c r="J41" s="299"/>
      <c r="K41" s="300"/>
      <c r="L41" s="1299"/>
      <c r="M41" s="301"/>
      <c r="N41" s="22"/>
      <c r="O41" s="302"/>
      <c r="P41" s="22"/>
      <c r="Q41" s="22"/>
      <c r="R41" s="22"/>
      <c r="S41" s="22"/>
      <c r="T41" s="303"/>
      <c r="U41" s="304"/>
      <c r="V41" s="22"/>
      <c r="W41" s="25"/>
      <c r="AC41" s="257"/>
      <c r="AD41" s="258"/>
      <c r="AE41" s="257"/>
      <c r="AF41" s="257"/>
      <c r="AG41" s="257"/>
      <c r="AH41" s="247"/>
      <c r="AI41" s="259"/>
      <c r="AJ41" s="260"/>
      <c r="AK41" s="261"/>
      <c r="AL41" s="262"/>
      <c r="AM41" s="259"/>
    </row>
    <row r="42" spans="2:46" ht="12.75" customHeight="1" x14ac:dyDescent="0.2">
      <c r="B42" s="21"/>
      <c r="C42" s="35"/>
      <c r="D42" s="187"/>
      <c r="E42" s="93"/>
      <c r="F42" s="187"/>
      <c r="G42" s="186"/>
      <c r="H42" s="193"/>
      <c r="I42" s="361"/>
      <c r="J42" s="361"/>
      <c r="K42" s="362"/>
      <c r="L42" s="1290"/>
      <c r="M42" s="363"/>
      <c r="N42" s="35"/>
      <c r="O42" s="364"/>
      <c r="P42" s="35"/>
      <c r="Q42" s="35"/>
      <c r="R42" s="35"/>
      <c r="S42" s="35"/>
      <c r="T42" s="365"/>
      <c r="U42" s="366"/>
      <c r="V42" s="35"/>
      <c r="W42" s="25"/>
      <c r="X42" s="952"/>
      <c r="AC42" s="1306"/>
      <c r="AD42" s="1307"/>
      <c r="AE42" s="1306"/>
      <c r="AF42" s="1306"/>
      <c r="AG42" s="1306"/>
      <c r="AH42" s="1308"/>
      <c r="AI42" s="1309"/>
      <c r="AJ42" s="1310"/>
      <c r="AK42" s="1311"/>
      <c r="AL42" s="1312"/>
      <c r="AM42" s="259"/>
    </row>
    <row r="43" spans="2:46" s="1282" customFormat="1" ht="12.75" customHeight="1" x14ac:dyDescent="0.2">
      <c r="B43" s="1280"/>
      <c r="C43" s="1281"/>
      <c r="D43" s="1277" t="s">
        <v>147</v>
      </c>
      <c r="E43" s="1278"/>
      <c r="F43" s="1278"/>
      <c r="G43" s="1278"/>
      <c r="H43" s="1278"/>
      <c r="I43" s="1278"/>
      <c r="J43" s="1278"/>
      <c r="K43" s="1278"/>
      <c r="L43" s="1286"/>
      <c r="M43" s="1327" t="s">
        <v>817</v>
      </c>
      <c r="N43" s="1328"/>
      <c r="O43" s="1329"/>
      <c r="P43" s="1329"/>
      <c r="Q43" s="1328"/>
      <c r="R43" s="1330" t="s">
        <v>818</v>
      </c>
      <c r="S43" s="1331"/>
      <c r="T43" s="1331"/>
      <c r="U43" s="1331"/>
      <c r="V43" s="1332"/>
      <c r="W43" s="1333"/>
      <c r="X43" s="1334"/>
      <c r="Y43" s="1335"/>
      <c r="Z43" s="1336"/>
      <c r="AA43" s="1336"/>
      <c r="AB43" s="1337"/>
      <c r="AC43" s="1338"/>
      <c r="AD43" s="1339"/>
      <c r="AE43" s="1338"/>
      <c r="AF43" s="1340"/>
      <c r="AG43" s="1340"/>
      <c r="AH43" s="1341"/>
      <c r="AI43" s="1342"/>
      <c r="AJ43" s="1341"/>
      <c r="AK43" s="1343"/>
      <c r="AL43" s="1343"/>
      <c r="AN43" s="263"/>
      <c r="AO43" s="263"/>
    </row>
    <row r="44" spans="2:46" s="212" customFormat="1" ht="12.75" customHeight="1" x14ac:dyDescent="0.2">
      <c r="B44" s="215"/>
      <c r="C44" s="367"/>
      <c r="D44" s="383" t="s">
        <v>148</v>
      </c>
      <c r="E44" s="383" t="s">
        <v>149</v>
      </c>
      <c r="F44" s="383" t="s">
        <v>150</v>
      </c>
      <c r="G44" s="384" t="s">
        <v>151</v>
      </c>
      <c r="H44" s="385" t="s">
        <v>152</v>
      </c>
      <c r="I44" s="384" t="s">
        <v>115</v>
      </c>
      <c r="J44" s="384" t="s">
        <v>153</v>
      </c>
      <c r="K44" s="386" t="s">
        <v>154</v>
      </c>
      <c r="L44" s="1291"/>
      <c r="M44" s="1354" t="s">
        <v>819</v>
      </c>
      <c r="N44" s="1355" t="s">
        <v>820</v>
      </c>
      <c r="O44" s="1356" t="s">
        <v>821</v>
      </c>
      <c r="P44" s="1357" t="s">
        <v>822</v>
      </c>
      <c r="Q44" s="1355" t="s">
        <v>823</v>
      </c>
      <c r="R44" s="1356" t="s">
        <v>155</v>
      </c>
      <c r="S44" s="1354" t="s">
        <v>824</v>
      </c>
      <c r="T44" s="1354" t="s">
        <v>825</v>
      </c>
      <c r="U44" s="1354" t="s">
        <v>155</v>
      </c>
      <c r="V44" s="1358"/>
      <c r="W44" s="1359"/>
      <c r="X44" s="1360"/>
      <c r="Y44" s="1361"/>
      <c r="Z44" s="1362"/>
      <c r="AA44" s="1362"/>
      <c r="AB44" s="1371" t="s">
        <v>290</v>
      </c>
      <c r="AC44" s="1372" t="s">
        <v>826</v>
      </c>
      <c r="AD44" s="1373" t="s">
        <v>827</v>
      </c>
      <c r="AE44" s="1373" t="s">
        <v>827</v>
      </c>
      <c r="AF44" s="1373" t="s">
        <v>828</v>
      </c>
      <c r="AG44" s="1373" t="s">
        <v>823</v>
      </c>
      <c r="AH44" s="1373" t="s">
        <v>829</v>
      </c>
      <c r="AI44" s="1373" t="s">
        <v>830</v>
      </c>
      <c r="AJ44" s="1373" t="s">
        <v>831</v>
      </c>
      <c r="AK44" s="1373" t="s">
        <v>157</v>
      </c>
      <c r="AL44" s="1165" t="s">
        <v>303</v>
      </c>
      <c r="AN44" s="263"/>
      <c r="AO44" s="265"/>
    </row>
    <row r="45" spans="2:46" s="212" customFormat="1" ht="12.75" customHeight="1" x14ac:dyDescent="0.2">
      <c r="B45" s="215"/>
      <c r="C45" s="367"/>
      <c r="D45" s="388"/>
      <c r="E45" s="383"/>
      <c r="F45" s="389"/>
      <c r="G45" s="384" t="s">
        <v>159</v>
      </c>
      <c r="H45" s="385" t="s">
        <v>160</v>
      </c>
      <c r="I45" s="384"/>
      <c r="J45" s="384"/>
      <c r="K45" s="386"/>
      <c r="L45" s="1291"/>
      <c r="M45" s="1367" t="s">
        <v>832</v>
      </c>
      <c r="N45" s="1355" t="s">
        <v>833</v>
      </c>
      <c r="O45" s="1356" t="s">
        <v>834</v>
      </c>
      <c r="P45" s="1357" t="s">
        <v>95</v>
      </c>
      <c r="Q45" s="1355" t="s">
        <v>835</v>
      </c>
      <c r="R45" s="1356" t="s">
        <v>836</v>
      </c>
      <c r="S45" s="1368" t="s">
        <v>837</v>
      </c>
      <c r="T45" s="1368" t="s">
        <v>838</v>
      </c>
      <c r="U45" s="1354" t="s">
        <v>95</v>
      </c>
      <c r="V45" s="1358"/>
      <c r="W45" s="1359"/>
      <c r="X45" s="1360"/>
      <c r="Y45" s="1369"/>
      <c r="Z45" s="1362"/>
      <c r="AA45" s="1362"/>
      <c r="AB45" s="1373" t="s">
        <v>839</v>
      </c>
      <c r="AC45" s="1374">
        <f>tab!$D$101</f>
        <v>0.53</v>
      </c>
      <c r="AD45" s="1373" t="s">
        <v>840</v>
      </c>
      <c r="AE45" s="1373" t="s">
        <v>841</v>
      </c>
      <c r="AF45" s="1373" t="s">
        <v>842</v>
      </c>
      <c r="AG45" s="1373" t="s">
        <v>835</v>
      </c>
      <c r="AH45" s="1373" t="s">
        <v>843</v>
      </c>
      <c r="AI45" s="1373" t="s">
        <v>843</v>
      </c>
      <c r="AJ45" s="1373" t="s">
        <v>844</v>
      </c>
      <c r="AK45" s="1373"/>
      <c r="AL45" s="1373" t="s">
        <v>156</v>
      </c>
      <c r="AO45" s="266"/>
    </row>
    <row r="46" spans="2:46" ht="12.75" customHeight="1" x14ac:dyDescent="0.2">
      <c r="B46" s="21"/>
      <c r="C46" s="35"/>
      <c r="D46" s="187"/>
      <c r="E46" s="187"/>
      <c r="F46" s="187"/>
      <c r="G46" s="186"/>
      <c r="H46" s="193"/>
      <c r="I46" s="368"/>
      <c r="J46" s="368"/>
      <c r="K46" s="369"/>
      <c r="L46" s="1292"/>
      <c r="M46" s="369"/>
      <c r="N46" s="370"/>
      <c r="O46" s="371"/>
      <c r="P46" s="372"/>
      <c r="Q46" s="372"/>
      <c r="R46" s="372"/>
      <c r="S46" s="372"/>
      <c r="T46" s="373"/>
      <c r="U46" s="374"/>
      <c r="V46" s="370"/>
      <c r="W46" s="25"/>
      <c r="AC46" s="6"/>
      <c r="AD46" s="6"/>
      <c r="AL46" s="6"/>
      <c r="AM46" s="6"/>
      <c r="AO46" s="269"/>
    </row>
    <row r="47" spans="2:46" ht="12.75" customHeight="1" x14ac:dyDescent="0.2">
      <c r="B47" s="21"/>
      <c r="C47" s="35"/>
      <c r="D47" s="862" t="str">
        <f t="shared" ref="D47:D66" si="16">IF(D15=0,"",D15)</f>
        <v/>
      </c>
      <c r="E47" s="862" t="str">
        <f t="shared" ref="E47:E66" si="17">IF(E15="","",E15)</f>
        <v/>
      </c>
      <c r="F47" s="862" t="str">
        <f t="shared" ref="F47:F66" si="18">IF(F15=0,"",F15)</f>
        <v/>
      </c>
      <c r="G47" s="863" t="str">
        <f t="shared" ref="G47:G66" si="19">IF(G15="","",G15+1)</f>
        <v/>
      </c>
      <c r="H47" s="864" t="str">
        <f t="shared" ref="H47" si="20">IF(H15=0,"",H15)</f>
        <v/>
      </c>
      <c r="I47" s="865" t="str">
        <f>IF(I15=0,"",I15)</f>
        <v/>
      </c>
      <c r="J47" s="863" t="str">
        <f t="shared" ref="J47:J66" si="21">IF(E47="","",IF(J15&lt;VLOOKUP(I47,tabelsalaris2015VO,19,FALSE),J15+1,J15))</f>
        <v/>
      </c>
      <c r="K47" s="866" t="str">
        <f t="shared" ref="K47" si="22">IF(K15="","",K15)</f>
        <v/>
      </c>
      <c r="L47" s="1293"/>
      <c r="M47" s="847">
        <v>0</v>
      </c>
      <c r="N47" s="1521">
        <v>0</v>
      </c>
      <c r="O47" s="1522" t="str">
        <f>IF(K47="","",K47*50)</f>
        <v/>
      </c>
      <c r="P47" s="1305">
        <f>SUM(M47:O47)</f>
        <v>0</v>
      </c>
      <c r="Q47" s="1304">
        <v>0</v>
      </c>
      <c r="R47" s="392" t="str">
        <f>IF(K47="","",(1659*K47-P47)*AE47)</f>
        <v/>
      </c>
      <c r="S47" s="392" t="str">
        <f>IF(K47="","",P47*AF47+AD47*(AH47+AI47*(1-AJ47)))</f>
        <v/>
      </c>
      <c r="T47" s="393">
        <f>ROUND(IF(K47="",0,+Q47/1659*(AB47*12*(1+tab!$D$111+tab!$D$112)-tab!$D$110)*tab!$D$108),-1)</f>
        <v>0</v>
      </c>
      <c r="U47" s="1321" t="str">
        <f>IF(K47="","",IF(E47=0,0,(R47+S47+T47)))</f>
        <v/>
      </c>
      <c r="V47" s="376"/>
      <c r="W47" s="25"/>
      <c r="AB47" s="1314" t="str">
        <f t="shared" ref="AB47:AB66" si="23">IF(I47="","",VLOOKUP(I47,tabelsalaris2015VO,J47+2,FALSE)*5/12+VLOOKUP(I47,tabelsalaris2016VO,J47+2,FALSE)*7/12)</f>
        <v/>
      </c>
      <c r="AC47" s="1374">
        <f>tab!$D$101</f>
        <v>0.53</v>
      </c>
      <c r="AD47" s="1313" t="e">
        <f>AB47*12/1659</f>
        <v>#VALUE!</v>
      </c>
      <c r="AE47" s="1313" t="e">
        <f>AB47*12*(1+AC47)/1659</f>
        <v>#VALUE!</v>
      </c>
      <c r="AF47" s="1313" t="e">
        <f>+AE47-AD47</f>
        <v>#VALUE!</v>
      </c>
      <c r="AG47" s="14">
        <f>Q47</f>
        <v>0</v>
      </c>
      <c r="AH47" s="1315" t="str">
        <f>O47</f>
        <v/>
      </c>
      <c r="AI47" s="14">
        <f>(M47+N47)</f>
        <v>0</v>
      </c>
      <c r="AJ47" s="1316">
        <f>IF(I47&gt;8,50%,40%)</f>
        <v>0.5</v>
      </c>
      <c r="AK47" s="6">
        <f>IF(G47&lt;25,0,IF(G47=25,25,IF(G47&lt;40,0,IF(G47=40,40,IF(G47&gt;=40,0)))))</f>
        <v>0</v>
      </c>
      <c r="AL47" s="1317">
        <f>IF(AK47=25,AB47*1.08*K47/2,IF(AK47=40,AB47*1.08*K47,0))</f>
        <v>0</v>
      </c>
      <c r="AT47" s="270" t="s">
        <v>103</v>
      </c>
    </row>
    <row r="48" spans="2:46" ht="12.75" customHeight="1" x14ac:dyDescent="0.2">
      <c r="B48" s="21"/>
      <c r="C48" s="35"/>
      <c r="D48" s="862" t="str">
        <f t="shared" si="16"/>
        <v/>
      </c>
      <c r="E48" s="862" t="str">
        <f t="shared" si="17"/>
        <v/>
      </c>
      <c r="F48" s="862" t="str">
        <f t="shared" si="18"/>
        <v/>
      </c>
      <c r="G48" s="863" t="str">
        <f t="shared" si="19"/>
        <v/>
      </c>
      <c r="H48" s="864" t="str">
        <f t="shared" ref="H48:I48" si="24">IF(H16=0,"",H16)</f>
        <v/>
      </c>
      <c r="I48" s="865" t="str">
        <f t="shared" si="24"/>
        <v/>
      </c>
      <c r="J48" s="863" t="str">
        <f t="shared" si="21"/>
        <v/>
      </c>
      <c r="K48" s="866" t="str">
        <f t="shared" ref="K48" si="25">IF(K16="","",K16)</f>
        <v/>
      </c>
      <c r="L48" s="1293"/>
      <c r="M48" s="847">
        <v>0</v>
      </c>
      <c r="N48" s="1521">
        <v>0</v>
      </c>
      <c r="O48" s="1522" t="str">
        <f t="shared" ref="O48:O66" si="26">IF(K48="","",K48*50)</f>
        <v/>
      </c>
      <c r="P48" s="1305">
        <f t="shared" ref="P48:P66" si="27">SUM(M48:O48)</f>
        <v>0</v>
      </c>
      <c r="Q48" s="1304">
        <v>0</v>
      </c>
      <c r="R48" s="392" t="str">
        <f t="shared" ref="R48:R66" si="28">IF(K48="","",(1659*K48-P48)*AE48)</f>
        <v/>
      </c>
      <c r="S48" s="392" t="str">
        <f t="shared" ref="S48:S66" si="29">IF(K48="","",P48*AF48+AD48*(AH48+AI48*(1-AJ48)))</f>
        <v/>
      </c>
      <c r="T48" s="393">
        <f>ROUND(IF(K48="",0,+Q48/1659*(AB48*12*(1+tab!$D$111+tab!$D$112)-tab!$D$110)*tab!$D$108),-1)</f>
        <v>0</v>
      </c>
      <c r="U48" s="1321" t="str">
        <f t="shared" ref="U48:U66" si="30">IF(K48="","",IF(E48=0,0,(R48+S48+T48)))</f>
        <v/>
      </c>
      <c r="V48" s="376"/>
      <c r="W48" s="25"/>
      <c r="AB48" s="1314" t="str">
        <f t="shared" si="23"/>
        <v/>
      </c>
      <c r="AC48" s="1374">
        <f>tab!$D$101</f>
        <v>0.53</v>
      </c>
      <c r="AD48" s="1313" t="e">
        <f t="shared" ref="AD48:AD66" si="31">AB48*12/1659</f>
        <v>#VALUE!</v>
      </c>
      <c r="AE48" s="1313" t="e">
        <f t="shared" ref="AE48:AE66" si="32">AB48*12*(1+AC48)/1659</f>
        <v>#VALUE!</v>
      </c>
      <c r="AF48" s="1313" t="e">
        <f t="shared" ref="AF48:AF66" si="33">+AE48-AD48</f>
        <v>#VALUE!</v>
      </c>
      <c r="AG48" s="14">
        <f t="shared" ref="AG48:AG66" si="34">Q48</f>
        <v>0</v>
      </c>
      <c r="AH48" s="1315" t="str">
        <f t="shared" ref="AH48:AH66" si="35">O48</f>
        <v/>
      </c>
      <c r="AI48" s="14">
        <f t="shared" ref="AI48:AI66" si="36">(M48+N48)</f>
        <v>0</v>
      </c>
      <c r="AJ48" s="1316">
        <f t="shared" ref="AJ48:AJ66" si="37">IF(I48&gt;8,50%,40%)</f>
        <v>0.5</v>
      </c>
      <c r="AK48" s="6">
        <f t="shared" ref="AK48:AK66" si="38">IF(G48&lt;25,0,IF(G48=25,25,IF(G48&lt;40,0,IF(G48=40,40,IF(G48&gt;=40,0)))))</f>
        <v>0</v>
      </c>
      <c r="AL48" s="1317">
        <f t="shared" ref="AL48:AL66" si="39">IF(AK48=25,AB48*1.08*K48/2,IF(AK48=40,AB48*1.08*K48,0))</f>
        <v>0</v>
      </c>
      <c r="AT48" s="270" t="s">
        <v>104</v>
      </c>
    </row>
    <row r="49" spans="2:46" ht="12.75" customHeight="1" x14ac:dyDescent="0.2">
      <c r="B49" s="21"/>
      <c r="C49" s="35"/>
      <c r="D49" s="862" t="str">
        <f t="shared" si="16"/>
        <v/>
      </c>
      <c r="E49" s="862" t="str">
        <f t="shared" si="17"/>
        <v/>
      </c>
      <c r="F49" s="862" t="str">
        <f t="shared" si="18"/>
        <v/>
      </c>
      <c r="G49" s="863" t="str">
        <f t="shared" si="19"/>
        <v/>
      </c>
      <c r="H49" s="864" t="str">
        <f t="shared" ref="H49:I49" si="40">IF(H17=0,"",H17)</f>
        <v/>
      </c>
      <c r="I49" s="865" t="str">
        <f t="shared" si="40"/>
        <v/>
      </c>
      <c r="J49" s="863" t="str">
        <f t="shared" si="21"/>
        <v/>
      </c>
      <c r="K49" s="866" t="str">
        <f t="shared" ref="K49" si="41">IF(K17="","",K17)</f>
        <v/>
      </c>
      <c r="L49" s="1293"/>
      <c r="M49" s="847">
        <v>0</v>
      </c>
      <c r="N49" s="1521">
        <v>0</v>
      </c>
      <c r="O49" s="1522" t="str">
        <f t="shared" si="26"/>
        <v/>
      </c>
      <c r="P49" s="1305">
        <f t="shared" si="27"/>
        <v>0</v>
      </c>
      <c r="Q49" s="1304">
        <v>0</v>
      </c>
      <c r="R49" s="392" t="str">
        <f t="shared" si="28"/>
        <v/>
      </c>
      <c r="S49" s="392" t="str">
        <f t="shared" si="29"/>
        <v/>
      </c>
      <c r="T49" s="393">
        <f>ROUND(IF(K49="",0,+Q49/1659*(AB49*12*(1+tab!$D$111+tab!$D$112)-tab!$D$110)*tab!$D$108),-1)</f>
        <v>0</v>
      </c>
      <c r="U49" s="1321" t="str">
        <f t="shared" si="30"/>
        <v/>
      </c>
      <c r="V49" s="376"/>
      <c r="W49" s="25"/>
      <c r="AB49" s="1314" t="str">
        <f t="shared" si="23"/>
        <v/>
      </c>
      <c r="AC49" s="1374">
        <f>tab!$D$101</f>
        <v>0.53</v>
      </c>
      <c r="AD49" s="1313" t="e">
        <f t="shared" si="31"/>
        <v>#VALUE!</v>
      </c>
      <c r="AE49" s="1313" t="e">
        <f t="shared" si="32"/>
        <v>#VALUE!</v>
      </c>
      <c r="AF49" s="1313" t="e">
        <f t="shared" si="33"/>
        <v>#VALUE!</v>
      </c>
      <c r="AG49" s="14">
        <f t="shared" si="34"/>
        <v>0</v>
      </c>
      <c r="AH49" s="1315" t="str">
        <f t="shared" si="35"/>
        <v/>
      </c>
      <c r="AI49" s="14">
        <f t="shared" si="36"/>
        <v>0</v>
      </c>
      <c r="AJ49" s="1316">
        <f t="shared" si="37"/>
        <v>0.5</v>
      </c>
      <c r="AK49" s="6">
        <f t="shared" si="38"/>
        <v>0</v>
      </c>
      <c r="AL49" s="1317">
        <f t="shared" si="39"/>
        <v>0</v>
      </c>
      <c r="AT49" s="270" t="s">
        <v>105</v>
      </c>
    </row>
    <row r="50" spans="2:46" ht="12.75" customHeight="1" x14ac:dyDescent="0.2">
      <c r="B50" s="21"/>
      <c r="C50" s="35"/>
      <c r="D50" s="862" t="str">
        <f t="shared" si="16"/>
        <v/>
      </c>
      <c r="E50" s="862" t="str">
        <f t="shared" si="17"/>
        <v/>
      </c>
      <c r="F50" s="862" t="str">
        <f t="shared" si="18"/>
        <v/>
      </c>
      <c r="G50" s="863" t="str">
        <f t="shared" si="19"/>
        <v/>
      </c>
      <c r="H50" s="864" t="str">
        <f t="shared" ref="H50:I50" si="42">IF(H18=0,"",H18)</f>
        <v/>
      </c>
      <c r="I50" s="865" t="str">
        <f t="shared" si="42"/>
        <v/>
      </c>
      <c r="J50" s="863" t="str">
        <f t="shared" si="21"/>
        <v/>
      </c>
      <c r="K50" s="866" t="str">
        <f t="shared" ref="K50" si="43">IF(K18="","",K18)</f>
        <v/>
      </c>
      <c r="L50" s="1293"/>
      <c r="M50" s="847">
        <v>0</v>
      </c>
      <c r="N50" s="1521">
        <v>0</v>
      </c>
      <c r="O50" s="1522" t="str">
        <f t="shared" si="26"/>
        <v/>
      </c>
      <c r="P50" s="1305">
        <f t="shared" si="27"/>
        <v>0</v>
      </c>
      <c r="Q50" s="1304">
        <v>0</v>
      </c>
      <c r="R50" s="392" t="str">
        <f t="shared" si="28"/>
        <v/>
      </c>
      <c r="S50" s="392" t="str">
        <f t="shared" si="29"/>
        <v/>
      </c>
      <c r="T50" s="393">
        <f>ROUND(IF(K50="",0,+Q50/1659*(AB50*12*(1+tab!$D$111+tab!$D$112)-tab!$D$110)*tab!$D$108),-1)</f>
        <v>0</v>
      </c>
      <c r="U50" s="1321" t="str">
        <f t="shared" si="30"/>
        <v/>
      </c>
      <c r="V50" s="376"/>
      <c r="W50" s="25"/>
      <c r="AB50" s="1314" t="str">
        <f t="shared" si="23"/>
        <v/>
      </c>
      <c r="AC50" s="1374">
        <f>tab!$D$101</f>
        <v>0.53</v>
      </c>
      <c r="AD50" s="1313" t="e">
        <f t="shared" si="31"/>
        <v>#VALUE!</v>
      </c>
      <c r="AE50" s="1313" t="e">
        <f t="shared" si="32"/>
        <v>#VALUE!</v>
      </c>
      <c r="AF50" s="1313" t="e">
        <f t="shared" si="33"/>
        <v>#VALUE!</v>
      </c>
      <c r="AG50" s="14">
        <f t="shared" si="34"/>
        <v>0</v>
      </c>
      <c r="AH50" s="1315" t="str">
        <f t="shared" si="35"/>
        <v/>
      </c>
      <c r="AI50" s="14">
        <f t="shared" si="36"/>
        <v>0</v>
      </c>
      <c r="AJ50" s="1316">
        <f t="shared" si="37"/>
        <v>0.5</v>
      </c>
      <c r="AK50" s="6">
        <f t="shared" si="38"/>
        <v>0</v>
      </c>
      <c r="AL50" s="1317">
        <f t="shared" si="39"/>
        <v>0</v>
      </c>
      <c r="AT50" s="270" t="s">
        <v>106</v>
      </c>
    </row>
    <row r="51" spans="2:46" ht="12.75" customHeight="1" x14ac:dyDescent="0.2">
      <c r="B51" s="21"/>
      <c r="C51" s="35"/>
      <c r="D51" s="862" t="str">
        <f t="shared" si="16"/>
        <v/>
      </c>
      <c r="E51" s="862" t="str">
        <f t="shared" si="17"/>
        <v/>
      </c>
      <c r="F51" s="862" t="str">
        <f t="shared" si="18"/>
        <v/>
      </c>
      <c r="G51" s="863" t="str">
        <f t="shared" si="19"/>
        <v/>
      </c>
      <c r="H51" s="864" t="str">
        <f t="shared" ref="H51:I51" si="44">IF(H19=0,"",H19)</f>
        <v/>
      </c>
      <c r="I51" s="865" t="str">
        <f t="shared" si="44"/>
        <v/>
      </c>
      <c r="J51" s="863" t="str">
        <f t="shared" si="21"/>
        <v/>
      </c>
      <c r="K51" s="866" t="str">
        <f t="shared" ref="K51" si="45">IF(K19="","",K19)</f>
        <v/>
      </c>
      <c r="L51" s="1293"/>
      <c r="M51" s="847">
        <v>0</v>
      </c>
      <c r="N51" s="1521">
        <v>0</v>
      </c>
      <c r="O51" s="1522" t="str">
        <f t="shared" si="26"/>
        <v/>
      </c>
      <c r="P51" s="1305">
        <f t="shared" si="27"/>
        <v>0</v>
      </c>
      <c r="Q51" s="1304">
        <v>0</v>
      </c>
      <c r="R51" s="392" t="str">
        <f t="shared" si="28"/>
        <v/>
      </c>
      <c r="S51" s="392" t="str">
        <f t="shared" si="29"/>
        <v/>
      </c>
      <c r="T51" s="393">
        <f>ROUND(IF(K51="",0,+Q51/1659*(AB51*12*(1+tab!$D$111+tab!$D$112)-tab!$D$110)*tab!$D$108),-1)</f>
        <v>0</v>
      </c>
      <c r="U51" s="1321" t="str">
        <f t="shared" si="30"/>
        <v/>
      </c>
      <c r="V51" s="376"/>
      <c r="W51" s="25"/>
      <c r="AB51" s="1314" t="str">
        <f t="shared" si="23"/>
        <v/>
      </c>
      <c r="AC51" s="1374">
        <f>tab!$D$101</f>
        <v>0.53</v>
      </c>
      <c r="AD51" s="1313" t="e">
        <f t="shared" si="31"/>
        <v>#VALUE!</v>
      </c>
      <c r="AE51" s="1313" t="e">
        <f t="shared" si="32"/>
        <v>#VALUE!</v>
      </c>
      <c r="AF51" s="1313" t="e">
        <f t="shared" si="33"/>
        <v>#VALUE!</v>
      </c>
      <c r="AG51" s="14">
        <f t="shared" si="34"/>
        <v>0</v>
      </c>
      <c r="AH51" s="1315" t="str">
        <f t="shared" si="35"/>
        <v/>
      </c>
      <c r="AI51" s="14">
        <f t="shared" si="36"/>
        <v>0</v>
      </c>
      <c r="AJ51" s="1316">
        <f t="shared" si="37"/>
        <v>0.5</v>
      </c>
      <c r="AK51" s="6">
        <f t="shared" si="38"/>
        <v>0</v>
      </c>
      <c r="AL51" s="1317">
        <f t="shared" si="39"/>
        <v>0</v>
      </c>
      <c r="AT51" s="270" t="s">
        <v>107</v>
      </c>
    </row>
    <row r="52" spans="2:46" ht="12.75" customHeight="1" x14ac:dyDescent="0.2">
      <c r="B52" s="21"/>
      <c r="C52" s="35"/>
      <c r="D52" s="862" t="str">
        <f t="shared" si="16"/>
        <v/>
      </c>
      <c r="E52" s="862" t="str">
        <f t="shared" si="17"/>
        <v/>
      </c>
      <c r="F52" s="862" t="str">
        <f t="shared" si="18"/>
        <v/>
      </c>
      <c r="G52" s="863" t="str">
        <f t="shared" si="19"/>
        <v/>
      </c>
      <c r="H52" s="864" t="str">
        <f t="shared" ref="H52:I52" si="46">IF(H20=0,"",H20)</f>
        <v/>
      </c>
      <c r="I52" s="865" t="str">
        <f t="shared" si="46"/>
        <v/>
      </c>
      <c r="J52" s="863" t="str">
        <f t="shared" si="21"/>
        <v/>
      </c>
      <c r="K52" s="866" t="str">
        <f t="shared" ref="K52" si="47">IF(K20="","",K20)</f>
        <v/>
      </c>
      <c r="L52" s="1293"/>
      <c r="M52" s="847">
        <v>0</v>
      </c>
      <c r="N52" s="1521">
        <v>0</v>
      </c>
      <c r="O52" s="1522" t="str">
        <f t="shared" si="26"/>
        <v/>
      </c>
      <c r="P52" s="1305">
        <f t="shared" si="27"/>
        <v>0</v>
      </c>
      <c r="Q52" s="1304">
        <v>0</v>
      </c>
      <c r="R52" s="392" t="str">
        <f t="shared" si="28"/>
        <v/>
      </c>
      <c r="S52" s="392" t="str">
        <f t="shared" si="29"/>
        <v/>
      </c>
      <c r="T52" s="393">
        <f>ROUND(IF(K52="",0,+Q52/1659*(AB52*12*(1+tab!$D$111+tab!$D$112)-tab!$D$110)*tab!$D$108),-1)</f>
        <v>0</v>
      </c>
      <c r="U52" s="1321" t="str">
        <f t="shared" si="30"/>
        <v/>
      </c>
      <c r="V52" s="376"/>
      <c r="W52" s="25"/>
      <c r="AB52" s="1314" t="str">
        <f t="shared" si="23"/>
        <v/>
      </c>
      <c r="AC52" s="1374">
        <f>tab!$D$101</f>
        <v>0.53</v>
      </c>
      <c r="AD52" s="1313" t="e">
        <f t="shared" si="31"/>
        <v>#VALUE!</v>
      </c>
      <c r="AE52" s="1313" t="e">
        <f t="shared" si="32"/>
        <v>#VALUE!</v>
      </c>
      <c r="AF52" s="1313" t="e">
        <f t="shared" si="33"/>
        <v>#VALUE!</v>
      </c>
      <c r="AG52" s="14">
        <f t="shared" si="34"/>
        <v>0</v>
      </c>
      <c r="AH52" s="1315" t="str">
        <f t="shared" si="35"/>
        <v/>
      </c>
      <c r="AI52" s="14">
        <f t="shared" si="36"/>
        <v>0</v>
      </c>
      <c r="AJ52" s="1316">
        <f t="shared" si="37"/>
        <v>0.5</v>
      </c>
      <c r="AK52" s="6">
        <f t="shared" si="38"/>
        <v>0</v>
      </c>
      <c r="AL52" s="1317">
        <f t="shared" si="39"/>
        <v>0</v>
      </c>
      <c r="AT52" s="270" t="s">
        <v>108</v>
      </c>
    </row>
    <row r="53" spans="2:46" ht="12.75" customHeight="1" x14ac:dyDescent="0.2">
      <c r="B53" s="21"/>
      <c r="C53" s="35"/>
      <c r="D53" s="862" t="str">
        <f t="shared" si="16"/>
        <v/>
      </c>
      <c r="E53" s="862" t="str">
        <f t="shared" si="17"/>
        <v/>
      </c>
      <c r="F53" s="862" t="str">
        <f t="shared" si="18"/>
        <v/>
      </c>
      <c r="G53" s="863" t="str">
        <f t="shared" si="19"/>
        <v/>
      </c>
      <c r="H53" s="864" t="str">
        <f t="shared" ref="H53:I53" si="48">IF(H21=0,"",H21)</f>
        <v/>
      </c>
      <c r="I53" s="865" t="str">
        <f t="shared" si="48"/>
        <v/>
      </c>
      <c r="J53" s="863" t="str">
        <f t="shared" si="21"/>
        <v/>
      </c>
      <c r="K53" s="866" t="str">
        <f t="shared" ref="K53" si="49">IF(K21="","",K21)</f>
        <v/>
      </c>
      <c r="L53" s="1293"/>
      <c r="M53" s="847">
        <v>0</v>
      </c>
      <c r="N53" s="1521">
        <v>0</v>
      </c>
      <c r="O53" s="1522" t="str">
        <f t="shared" si="26"/>
        <v/>
      </c>
      <c r="P53" s="1305">
        <f t="shared" si="27"/>
        <v>0</v>
      </c>
      <c r="Q53" s="1304">
        <v>0</v>
      </c>
      <c r="R53" s="392" t="str">
        <f t="shared" si="28"/>
        <v/>
      </c>
      <c r="S53" s="392" t="str">
        <f t="shared" si="29"/>
        <v/>
      </c>
      <c r="T53" s="393">
        <f>ROUND(IF(K53="",0,+Q53/1659*(AB53*12*(1+tab!$D$111+tab!$D$112)-tab!$D$110)*tab!$D$108),-1)</f>
        <v>0</v>
      </c>
      <c r="U53" s="1321" t="str">
        <f t="shared" si="30"/>
        <v/>
      </c>
      <c r="V53" s="376"/>
      <c r="W53" s="25"/>
      <c r="AB53" s="1314" t="str">
        <f t="shared" si="23"/>
        <v/>
      </c>
      <c r="AC53" s="1374">
        <f>tab!$D$101</f>
        <v>0.53</v>
      </c>
      <c r="AD53" s="1313" t="e">
        <f t="shared" si="31"/>
        <v>#VALUE!</v>
      </c>
      <c r="AE53" s="1313" t="e">
        <f t="shared" si="32"/>
        <v>#VALUE!</v>
      </c>
      <c r="AF53" s="1313" t="e">
        <f t="shared" si="33"/>
        <v>#VALUE!</v>
      </c>
      <c r="AG53" s="14">
        <f t="shared" si="34"/>
        <v>0</v>
      </c>
      <c r="AH53" s="1315" t="str">
        <f t="shared" si="35"/>
        <v/>
      </c>
      <c r="AI53" s="14">
        <f t="shared" si="36"/>
        <v>0</v>
      </c>
      <c r="AJ53" s="1316">
        <f t="shared" si="37"/>
        <v>0.5</v>
      </c>
      <c r="AK53" s="6">
        <f t="shared" si="38"/>
        <v>0</v>
      </c>
      <c r="AL53" s="1317">
        <f t="shared" si="39"/>
        <v>0</v>
      </c>
      <c r="AT53" s="270" t="s">
        <v>109</v>
      </c>
    </row>
    <row r="54" spans="2:46" ht="12.75" customHeight="1" x14ac:dyDescent="0.2">
      <c r="B54" s="21"/>
      <c r="C54" s="35"/>
      <c r="D54" s="862" t="str">
        <f t="shared" si="16"/>
        <v/>
      </c>
      <c r="E54" s="862" t="str">
        <f t="shared" si="17"/>
        <v/>
      </c>
      <c r="F54" s="862" t="str">
        <f t="shared" si="18"/>
        <v/>
      </c>
      <c r="G54" s="863" t="str">
        <f t="shared" si="19"/>
        <v/>
      </c>
      <c r="H54" s="864" t="str">
        <f t="shared" ref="H54:I54" si="50">IF(H22=0,"",H22)</f>
        <v/>
      </c>
      <c r="I54" s="865" t="str">
        <f t="shared" si="50"/>
        <v/>
      </c>
      <c r="J54" s="863" t="str">
        <f t="shared" si="21"/>
        <v/>
      </c>
      <c r="K54" s="866" t="str">
        <f t="shared" ref="K54" si="51">IF(K22="","",K22)</f>
        <v/>
      </c>
      <c r="L54" s="1293"/>
      <c r="M54" s="847">
        <v>0</v>
      </c>
      <c r="N54" s="1521">
        <v>0</v>
      </c>
      <c r="O54" s="1522" t="str">
        <f t="shared" si="26"/>
        <v/>
      </c>
      <c r="P54" s="1305">
        <f t="shared" si="27"/>
        <v>0</v>
      </c>
      <c r="Q54" s="1304">
        <v>0</v>
      </c>
      <c r="R54" s="392" t="str">
        <f t="shared" si="28"/>
        <v/>
      </c>
      <c r="S54" s="392" t="str">
        <f t="shared" si="29"/>
        <v/>
      </c>
      <c r="T54" s="393">
        <f>ROUND(IF(K54="",0,+Q54/1659*(AB54*12*(1+tab!$D$111+tab!$D$112)-tab!$D$110)*tab!$D$108),-1)</f>
        <v>0</v>
      </c>
      <c r="U54" s="1321" t="str">
        <f t="shared" si="30"/>
        <v/>
      </c>
      <c r="V54" s="376"/>
      <c r="W54" s="25"/>
      <c r="AB54" s="1314" t="str">
        <f t="shared" si="23"/>
        <v/>
      </c>
      <c r="AC54" s="1374">
        <f>tab!$D$101</f>
        <v>0.53</v>
      </c>
      <c r="AD54" s="1313" t="e">
        <f t="shared" si="31"/>
        <v>#VALUE!</v>
      </c>
      <c r="AE54" s="1313" t="e">
        <f t="shared" si="32"/>
        <v>#VALUE!</v>
      </c>
      <c r="AF54" s="1313" t="e">
        <f t="shared" si="33"/>
        <v>#VALUE!</v>
      </c>
      <c r="AG54" s="14">
        <f t="shared" si="34"/>
        <v>0</v>
      </c>
      <c r="AH54" s="1315" t="str">
        <f t="shared" si="35"/>
        <v/>
      </c>
      <c r="AI54" s="14">
        <f t="shared" si="36"/>
        <v>0</v>
      </c>
      <c r="AJ54" s="1316">
        <f t="shared" si="37"/>
        <v>0.5</v>
      </c>
      <c r="AK54" s="6">
        <f t="shared" si="38"/>
        <v>0</v>
      </c>
      <c r="AL54" s="1317">
        <f t="shared" si="39"/>
        <v>0</v>
      </c>
      <c r="AT54" s="271">
        <v>11</v>
      </c>
    </row>
    <row r="55" spans="2:46" ht="12.75" customHeight="1" x14ac:dyDescent="0.2">
      <c r="B55" s="21"/>
      <c r="C55" s="35"/>
      <c r="D55" s="862" t="str">
        <f t="shared" si="16"/>
        <v/>
      </c>
      <c r="E55" s="862" t="str">
        <f t="shared" si="17"/>
        <v/>
      </c>
      <c r="F55" s="862" t="str">
        <f t="shared" si="18"/>
        <v/>
      </c>
      <c r="G55" s="863" t="str">
        <f t="shared" si="19"/>
        <v/>
      </c>
      <c r="H55" s="864" t="str">
        <f t="shared" ref="H55:I55" si="52">IF(H23=0,"",H23)</f>
        <v/>
      </c>
      <c r="I55" s="865" t="str">
        <f t="shared" si="52"/>
        <v/>
      </c>
      <c r="J55" s="863" t="str">
        <f t="shared" si="21"/>
        <v/>
      </c>
      <c r="K55" s="866" t="str">
        <f t="shared" ref="K55" si="53">IF(K23="","",K23)</f>
        <v/>
      </c>
      <c r="L55" s="1293"/>
      <c r="M55" s="847">
        <v>0</v>
      </c>
      <c r="N55" s="1521">
        <v>0</v>
      </c>
      <c r="O55" s="1522" t="str">
        <f t="shared" si="26"/>
        <v/>
      </c>
      <c r="P55" s="1305">
        <f t="shared" si="27"/>
        <v>0</v>
      </c>
      <c r="Q55" s="1304">
        <v>0</v>
      </c>
      <c r="R55" s="392" t="str">
        <f t="shared" si="28"/>
        <v/>
      </c>
      <c r="S55" s="392" t="str">
        <f t="shared" si="29"/>
        <v/>
      </c>
      <c r="T55" s="393">
        <f>ROUND(IF(K55="",0,+Q55/1659*(AB55*12*(1+tab!$D$111+tab!$D$112)-tab!$D$110)*tab!$D$108),-1)</f>
        <v>0</v>
      </c>
      <c r="U55" s="1321" t="str">
        <f t="shared" si="30"/>
        <v/>
      </c>
      <c r="V55" s="376"/>
      <c r="W55" s="25"/>
      <c r="AB55" s="1314" t="str">
        <f t="shared" si="23"/>
        <v/>
      </c>
      <c r="AC55" s="1374">
        <f>tab!$D$101</f>
        <v>0.53</v>
      </c>
      <c r="AD55" s="1313" t="e">
        <f t="shared" si="31"/>
        <v>#VALUE!</v>
      </c>
      <c r="AE55" s="1313" t="e">
        <f t="shared" si="32"/>
        <v>#VALUE!</v>
      </c>
      <c r="AF55" s="1313" t="e">
        <f t="shared" si="33"/>
        <v>#VALUE!</v>
      </c>
      <c r="AG55" s="14">
        <f t="shared" si="34"/>
        <v>0</v>
      </c>
      <c r="AH55" s="1315" t="str">
        <f t="shared" si="35"/>
        <v/>
      </c>
      <c r="AI55" s="14">
        <f t="shared" si="36"/>
        <v>0</v>
      </c>
      <c r="AJ55" s="1316">
        <f t="shared" si="37"/>
        <v>0.5</v>
      </c>
      <c r="AK55" s="6">
        <f t="shared" si="38"/>
        <v>0</v>
      </c>
      <c r="AL55" s="1317">
        <f t="shared" si="39"/>
        <v>0</v>
      </c>
      <c r="AT55" s="271">
        <v>12</v>
      </c>
    </row>
    <row r="56" spans="2:46" ht="12.75" customHeight="1" x14ac:dyDescent="0.2">
      <c r="B56" s="21"/>
      <c r="C56" s="35"/>
      <c r="D56" s="862" t="str">
        <f t="shared" si="16"/>
        <v/>
      </c>
      <c r="E56" s="862" t="str">
        <f t="shared" si="17"/>
        <v/>
      </c>
      <c r="F56" s="862" t="str">
        <f t="shared" si="18"/>
        <v/>
      </c>
      <c r="G56" s="863" t="str">
        <f t="shared" si="19"/>
        <v/>
      </c>
      <c r="H56" s="864" t="str">
        <f t="shared" ref="H56:I56" si="54">IF(H24=0,"",H24)</f>
        <v/>
      </c>
      <c r="I56" s="865" t="str">
        <f t="shared" si="54"/>
        <v/>
      </c>
      <c r="J56" s="863" t="str">
        <f t="shared" si="21"/>
        <v/>
      </c>
      <c r="K56" s="866" t="str">
        <f t="shared" ref="K56" si="55">IF(K24="","",K24)</f>
        <v/>
      </c>
      <c r="L56" s="1293"/>
      <c r="M56" s="847">
        <v>0</v>
      </c>
      <c r="N56" s="1521">
        <v>0</v>
      </c>
      <c r="O56" s="1522" t="str">
        <f t="shared" si="26"/>
        <v/>
      </c>
      <c r="P56" s="1305">
        <f t="shared" si="27"/>
        <v>0</v>
      </c>
      <c r="Q56" s="1304">
        <v>0</v>
      </c>
      <c r="R56" s="392" t="str">
        <f t="shared" si="28"/>
        <v/>
      </c>
      <c r="S56" s="392" t="str">
        <f t="shared" si="29"/>
        <v/>
      </c>
      <c r="T56" s="393">
        <f>ROUND(IF(K56="",0,+Q56/1659*(AB56*12*(1+tab!$D$111+tab!$D$112)-tab!$D$110)*tab!$D$108),-1)</f>
        <v>0</v>
      </c>
      <c r="U56" s="1321" t="str">
        <f t="shared" si="30"/>
        <v/>
      </c>
      <c r="V56" s="376"/>
      <c r="W56" s="25"/>
      <c r="AB56" s="1314" t="str">
        <f t="shared" si="23"/>
        <v/>
      </c>
      <c r="AC56" s="1374">
        <f>tab!$D$101</f>
        <v>0.53</v>
      </c>
      <c r="AD56" s="1313" t="e">
        <f t="shared" si="31"/>
        <v>#VALUE!</v>
      </c>
      <c r="AE56" s="1313" t="e">
        <f t="shared" si="32"/>
        <v>#VALUE!</v>
      </c>
      <c r="AF56" s="1313" t="e">
        <f t="shared" si="33"/>
        <v>#VALUE!</v>
      </c>
      <c r="AG56" s="14">
        <f t="shared" si="34"/>
        <v>0</v>
      </c>
      <c r="AH56" s="1315" t="str">
        <f t="shared" si="35"/>
        <v/>
      </c>
      <c r="AI56" s="14">
        <f t="shared" si="36"/>
        <v>0</v>
      </c>
      <c r="AJ56" s="1316">
        <f t="shared" si="37"/>
        <v>0.5</v>
      </c>
      <c r="AK56" s="6">
        <f t="shared" si="38"/>
        <v>0</v>
      </c>
      <c r="AL56" s="1317">
        <f t="shared" si="39"/>
        <v>0</v>
      </c>
      <c r="AT56" s="271">
        <v>13</v>
      </c>
    </row>
    <row r="57" spans="2:46" ht="12.75" customHeight="1" x14ac:dyDescent="0.2">
      <c r="B57" s="21"/>
      <c r="C57" s="35"/>
      <c r="D57" s="862" t="str">
        <f t="shared" si="16"/>
        <v/>
      </c>
      <c r="E57" s="862" t="str">
        <f t="shared" si="17"/>
        <v/>
      </c>
      <c r="F57" s="862" t="str">
        <f t="shared" si="18"/>
        <v/>
      </c>
      <c r="G57" s="863" t="str">
        <f t="shared" si="19"/>
        <v/>
      </c>
      <c r="H57" s="864" t="str">
        <f t="shared" ref="H57:I57" si="56">IF(H25=0,"",H25)</f>
        <v/>
      </c>
      <c r="I57" s="865" t="str">
        <f t="shared" si="56"/>
        <v/>
      </c>
      <c r="J57" s="863" t="str">
        <f t="shared" si="21"/>
        <v/>
      </c>
      <c r="K57" s="866" t="str">
        <f t="shared" ref="K57" si="57">IF(K25="","",K25)</f>
        <v/>
      </c>
      <c r="L57" s="1293"/>
      <c r="M57" s="847">
        <v>0</v>
      </c>
      <c r="N57" s="1521">
        <v>0</v>
      </c>
      <c r="O57" s="1522" t="str">
        <f t="shared" si="26"/>
        <v/>
      </c>
      <c r="P57" s="1305">
        <f t="shared" si="27"/>
        <v>0</v>
      </c>
      <c r="Q57" s="1304">
        <v>0</v>
      </c>
      <c r="R57" s="392" t="str">
        <f t="shared" si="28"/>
        <v/>
      </c>
      <c r="S57" s="392" t="str">
        <f t="shared" si="29"/>
        <v/>
      </c>
      <c r="T57" s="393">
        <f>ROUND(IF(K57="",0,+Q57/1659*(AB57*12*(1+tab!$D$111+tab!$D$112)-tab!$D$110)*tab!$D$108),-1)</f>
        <v>0</v>
      </c>
      <c r="U57" s="1321" t="str">
        <f t="shared" si="30"/>
        <v/>
      </c>
      <c r="V57" s="376"/>
      <c r="W57" s="25"/>
      <c r="AB57" s="1314" t="str">
        <f t="shared" si="23"/>
        <v/>
      </c>
      <c r="AC57" s="1374">
        <f>tab!$D$101</f>
        <v>0.53</v>
      </c>
      <c r="AD57" s="1313" t="e">
        <f t="shared" si="31"/>
        <v>#VALUE!</v>
      </c>
      <c r="AE57" s="1313" t="e">
        <f t="shared" si="32"/>
        <v>#VALUE!</v>
      </c>
      <c r="AF57" s="1313" t="e">
        <f t="shared" si="33"/>
        <v>#VALUE!</v>
      </c>
      <c r="AG57" s="14">
        <f t="shared" si="34"/>
        <v>0</v>
      </c>
      <c r="AH57" s="1315" t="str">
        <f t="shared" si="35"/>
        <v/>
      </c>
      <c r="AI57" s="14">
        <f t="shared" si="36"/>
        <v>0</v>
      </c>
      <c r="AJ57" s="1316">
        <f t="shared" si="37"/>
        <v>0.5</v>
      </c>
      <c r="AK57" s="6">
        <f t="shared" si="38"/>
        <v>0</v>
      </c>
      <c r="AL57" s="1317">
        <f t="shared" si="39"/>
        <v>0</v>
      </c>
      <c r="AT57" s="271">
        <v>14</v>
      </c>
    </row>
    <row r="58" spans="2:46" ht="12.75" customHeight="1" x14ac:dyDescent="0.2">
      <c r="B58" s="21"/>
      <c r="C58" s="35"/>
      <c r="D58" s="862" t="str">
        <f t="shared" si="16"/>
        <v/>
      </c>
      <c r="E58" s="862" t="str">
        <f t="shared" si="17"/>
        <v/>
      </c>
      <c r="F58" s="862" t="str">
        <f t="shared" si="18"/>
        <v/>
      </c>
      <c r="G58" s="863" t="str">
        <f t="shared" si="19"/>
        <v/>
      </c>
      <c r="H58" s="864" t="str">
        <f t="shared" ref="H58:I58" si="58">IF(H26=0,"",H26)</f>
        <v/>
      </c>
      <c r="I58" s="865" t="str">
        <f t="shared" si="58"/>
        <v/>
      </c>
      <c r="J58" s="863" t="str">
        <f t="shared" si="21"/>
        <v/>
      </c>
      <c r="K58" s="866" t="str">
        <f t="shared" ref="K58" si="59">IF(K26="","",K26)</f>
        <v/>
      </c>
      <c r="L58" s="1293"/>
      <c r="M58" s="847">
        <v>0</v>
      </c>
      <c r="N58" s="1521">
        <v>0</v>
      </c>
      <c r="O58" s="1522" t="str">
        <f t="shared" si="26"/>
        <v/>
      </c>
      <c r="P58" s="1305">
        <f t="shared" si="27"/>
        <v>0</v>
      </c>
      <c r="Q58" s="1304">
        <v>0</v>
      </c>
      <c r="R58" s="392" t="str">
        <f t="shared" si="28"/>
        <v/>
      </c>
      <c r="S58" s="392" t="str">
        <f t="shared" si="29"/>
        <v/>
      </c>
      <c r="T58" s="393">
        <f>ROUND(IF(K58="",0,+Q58/1659*(AB58*12*(1+tab!$D$111+tab!$D$112)-tab!$D$110)*tab!$D$108),-1)</f>
        <v>0</v>
      </c>
      <c r="U58" s="1321" t="str">
        <f t="shared" si="30"/>
        <v/>
      </c>
      <c r="V58" s="376"/>
      <c r="W58" s="25"/>
      <c r="AB58" s="1314" t="str">
        <f t="shared" si="23"/>
        <v/>
      </c>
      <c r="AC58" s="1374">
        <f>tab!$D$101</f>
        <v>0.53</v>
      </c>
      <c r="AD58" s="1313" t="e">
        <f t="shared" si="31"/>
        <v>#VALUE!</v>
      </c>
      <c r="AE58" s="1313" t="e">
        <f t="shared" si="32"/>
        <v>#VALUE!</v>
      </c>
      <c r="AF58" s="1313" t="e">
        <f t="shared" si="33"/>
        <v>#VALUE!</v>
      </c>
      <c r="AG58" s="14">
        <f t="shared" si="34"/>
        <v>0</v>
      </c>
      <c r="AH58" s="1315" t="str">
        <f t="shared" si="35"/>
        <v/>
      </c>
      <c r="AI58" s="14">
        <f t="shared" si="36"/>
        <v>0</v>
      </c>
      <c r="AJ58" s="1316">
        <f t="shared" si="37"/>
        <v>0.5</v>
      </c>
      <c r="AK58" s="6">
        <f t="shared" si="38"/>
        <v>0</v>
      </c>
      <c r="AL58" s="1317">
        <f t="shared" si="39"/>
        <v>0</v>
      </c>
      <c r="AT58" s="271" t="s">
        <v>114</v>
      </c>
    </row>
    <row r="59" spans="2:46" ht="12.75" customHeight="1" x14ac:dyDescent="0.2">
      <c r="B59" s="21"/>
      <c r="C59" s="35"/>
      <c r="D59" s="862" t="str">
        <f t="shared" si="16"/>
        <v/>
      </c>
      <c r="E59" s="862" t="str">
        <f t="shared" si="17"/>
        <v/>
      </c>
      <c r="F59" s="862" t="str">
        <f t="shared" si="18"/>
        <v/>
      </c>
      <c r="G59" s="863" t="str">
        <f t="shared" si="19"/>
        <v/>
      </c>
      <c r="H59" s="864" t="str">
        <f t="shared" ref="H59:I59" si="60">IF(H27=0,"",H27)</f>
        <v/>
      </c>
      <c r="I59" s="865" t="str">
        <f t="shared" si="60"/>
        <v/>
      </c>
      <c r="J59" s="863" t="str">
        <f t="shared" si="21"/>
        <v/>
      </c>
      <c r="K59" s="866" t="str">
        <f t="shared" ref="K59" si="61">IF(K27="","",K27)</f>
        <v/>
      </c>
      <c r="L59" s="1293"/>
      <c r="M59" s="847">
        <v>0</v>
      </c>
      <c r="N59" s="1521">
        <v>0</v>
      </c>
      <c r="O59" s="1522" t="str">
        <f t="shared" si="26"/>
        <v/>
      </c>
      <c r="P59" s="1305">
        <f t="shared" si="27"/>
        <v>0</v>
      </c>
      <c r="Q59" s="1304">
        <v>0</v>
      </c>
      <c r="R59" s="392" t="str">
        <f t="shared" si="28"/>
        <v/>
      </c>
      <c r="S59" s="392" t="str">
        <f t="shared" si="29"/>
        <v/>
      </c>
      <c r="T59" s="393">
        <f>ROUND(IF(K59="",0,+Q59/1659*(AB59*12*(1+tab!$D$111+tab!$D$112)-tab!$D$110)*tab!$D$108),-1)</f>
        <v>0</v>
      </c>
      <c r="U59" s="1321" t="str">
        <f t="shared" si="30"/>
        <v/>
      </c>
      <c r="V59" s="376"/>
      <c r="W59" s="25"/>
      <c r="AB59" s="1314" t="str">
        <f t="shared" si="23"/>
        <v/>
      </c>
      <c r="AC59" s="1374">
        <f>tab!$D$101</f>
        <v>0.53</v>
      </c>
      <c r="AD59" s="1313" t="e">
        <f t="shared" si="31"/>
        <v>#VALUE!</v>
      </c>
      <c r="AE59" s="1313" t="e">
        <f t="shared" si="32"/>
        <v>#VALUE!</v>
      </c>
      <c r="AF59" s="1313" t="e">
        <f t="shared" si="33"/>
        <v>#VALUE!</v>
      </c>
      <c r="AG59" s="14">
        <f t="shared" si="34"/>
        <v>0</v>
      </c>
      <c r="AH59" s="1315" t="str">
        <f t="shared" si="35"/>
        <v/>
      </c>
      <c r="AI59" s="14">
        <f t="shared" si="36"/>
        <v>0</v>
      </c>
      <c r="AJ59" s="1316">
        <f t="shared" si="37"/>
        <v>0.5</v>
      </c>
      <c r="AK59" s="6">
        <f t="shared" si="38"/>
        <v>0</v>
      </c>
      <c r="AL59" s="1317">
        <f t="shared" si="39"/>
        <v>0</v>
      </c>
      <c r="AT59" s="271"/>
    </row>
    <row r="60" spans="2:46" ht="12.75" customHeight="1" x14ac:dyDescent="0.2">
      <c r="B60" s="21"/>
      <c r="C60" s="35"/>
      <c r="D60" s="862" t="str">
        <f t="shared" si="16"/>
        <v/>
      </c>
      <c r="E60" s="862" t="str">
        <f t="shared" si="17"/>
        <v/>
      </c>
      <c r="F60" s="862" t="str">
        <f t="shared" si="18"/>
        <v/>
      </c>
      <c r="G60" s="863" t="str">
        <f t="shared" si="19"/>
        <v/>
      </c>
      <c r="H60" s="864" t="str">
        <f t="shared" ref="H60:I60" si="62">IF(H28=0,"",H28)</f>
        <v/>
      </c>
      <c r="I60" s="865" t="str">
        <f t="shared" si="62"/>
        <v/>
      </c>
      <c r="J60" s="863" t="str">
        <f t="shared" si="21"/>
        <v/>
      </c>
      <c r="K60" s="866" t="str">
        <f t="shared" ref="K60" si="63">IF(K28="","",K28)</f>
        <v/>
      </c>
      <c r="L60" s="1293"/>
      <c r="M60" s="847">
        <v>0</v>
      </c>
      <c r="N60" s="1521">
        <v>0</v>
      </c>
      <c r="O60" s="1522" t="str">
        <f t="shared" si="26"/>
        <v/>
      </c>
      <c r="P60" s="1305">
        <f t="shared" si="27"/>
        <v>0</v>
      </c>
      <c r="Q60" s="1304">
        <v>0</v>
      </c>
      <c r="R60" s="392" t="str">
        <f t="shared" si="28"/>
        <v/>
      </c>
      <c r="S60" s="392" t="str">
        <f t="shared" si="29"/>
        <v/>
      </c>
      <c r="T60" s="393">
        <f>ROUND(IF(K60="",0,+Q60/1659*(AB60*12*(1+tab!$D$111+tab!$D$112)-tab!$D$110)*tab!$D$108),-1)</f>
        <v>0</v>
      </c>
      <c r="U60" s="1321" t="str">
        <f t="shared" si="30"/>
        <v/>
      </c>
      <c r="V60" s="376"/>
      <c r="W60" s="25"/>
      <c r="AB60" s="1314" t="str">
        <f t="shared" si="23"/>
        <v/>
      </c>
      <c r="AC60" s="1374">
        <f>tab!$D$101</f>
        <v>0.53</v>
      </c>
      <c r="AD60" s="1313" t="e">
        <f t="shared" si="31"/>
        <v>#VALUE!</v>
      </c>
      <c r="AE60" s="1313" t="e">
        <f t="shared" si="32"/>
        <v>#VALUE!</v>
      </c>
      <c r="AF60" s="1313" t="e">
        <f t="shared" si="33"/>
        <v>#VALUE!</v>
      </c>
      <c r="AG60" s="14">
        <f t="shared" si="34"/>
        <v>0</v>
      </c>
      <c r="AH60" s="1315" t="str">
        <f t="shared" si="35"/>
        <v/>
      </c>
      <c r="AI60" s="14">
        <f t="shared" si="36"/>
        <v>0</v>
      </c>
      <c r="AJ60" s="1316">
        <f t="shared" si="37"/>
        <v>0.5</v>
      </c>
      <c r="AK60" s="6">
        <f t="shared" si="38"/>
        <v>0</v>
      </c>
      <c r="AL60" s="1317">
        <f t="shared" si="39"/>
        <v>0</v>
      </c>
      <c r="AT60" s="271"/>
    </row>
    <row r="61" spans="2:46" ht="12.75" customHeight="1" x14ac:dyDescent="0.2">
      <c r="B61" s="21"/>
      <c r="C61" s="35"/>
      <c r="D61" s="862" t="str">
        <f t="shared" si="16"/>
        <v/>
      </c>
      <c r="E61" s="862" t="str">
        <f t="shared" si="17"/>
        <v/>
      </c>
      <c r="F61" s="862" t="str">
        <f t="shared" si="18"/>
        <v/>
      </c>
      <c r="G61" s="863" t="str">
        <f t="shared" si="19"/>
        <v/>
      </c>
      <c r="H61" s="864" t="str">
        <f t="shared" ref="H61:I61" si="64">IF(H29=0,"",H29)</f>
        <v/>
      </c>
      <c r="I61" s="865" t="str">
        <f t="shared" si="64"/>
        <v/>
      </c>
      <c r="J61" s="863" t="str">
        <f t="shared" si="21"/>
        <v/>
      </c>
      <c r="K61" s="866" t="str">
        <f t="shared" ref="K61" si="65">IF(K29="","",K29)</f>
        <v/>
      </c>
      <c r="L61" s="1293"/>
      <c r="M61" s="847">
        <v>0</v>
      </c>
      <c r="N61" s="1521">
        <v>0</v>
      </c>
      <c r="O61" s="1522" t="str">
        <f t="shared" si="26"/>
        <v/>
      </c>
      <c r="P61" s="1305">
        <f t="shared" si="27"/>
        <v>0</v>
      </c>
      <c r="Q61" s="1304">
        <v>0</v>
      </c>
      <c r="R61" s="392" t="str">
        <f t="shared" si="28"/>
        <v/>
      </c>
      <c r="S61" s="392" t="str">
        <f t="shared" si="29"/>
        <v/>
      </c>
      <c r="T61" s="393">
        <f>ROUND(IF(K61="",0,+Q61/1659*(AB61*12*(1+tab!$D$111+tab!$D$112)-tab!$D$110)*tab!$D$108),-1)</f>
        <v>0</v>
      </c>
      <c r="U61" s="1321" t="str">
        <f t="shared" si="30"/>
        <v/>
      </c>
      <c r="V61" s="376"/>
      <c r="W61" s="25"/>
      <c r="AB61" s="1314" t="str">
        <f t="shared" si="23"/>
        <v/>
      </c>
      <c r="AC61" s="1374">
        <f>tab!$D$101</f>
        <v>0.53</v>
      </c>
      <c r="AD61" s="1313" t="e">
        <f t="shared" si="31"/>
        <v>#VALUE!</v>
      </c>
      <c r="AE61" s="1313" t="e">
        <f t="shared" si="32"/>
        <v>#VALUE!</v>
      </c>
      <c r="AF61" s="1313" t="e">
        <f t="shared" si="33"/>
        <v>#VALUE!</v>
      </c>
      <c r="AG61" s="14">
        <f t="shared" si="34"/>
        <v>0</v>
      </c>
      <c r="AH61" s="1315" t="str">
        <f t="shared" si="35"/>
        <v/>
      </c>
      <c r="AI61" s="14">
        <f t="shared" si="36"/>
        <v>0</v>
      </c>
      <c r="AJ61" s="1316">
        <f t="shared" si="37"/>
        <v>0.5</v>
      </c>
      <c r="AK61" s="6">
        <f t="shared" si="38"/>
        <v>0</v>
      </c>
      <c r="AL61" s="1317">
        <f t="shared" si="39"/>
        <v>0</v>
      </c>
      <c r="AT61" s="271"/>
    </row>
    <row r="62" spans="2:46" ht="12.75" customHeight="1" x14ac:dyDescent="0.2">
      <c r="B62" s="21"/>
      <c r="C62" s="35"/>
      <c r="D62" s="862" t="str">
        <f t="shared" si="16"/>
        <v/>
      </c>
      <c r="E62" s="862" t="str">
        <f t="shared" si="17"/>
        <v/>
      </c>
      <c r="F62" s="862" t="str">
        <f t="shared" si="18"/>
        <v/>
      </c>
      <c r="G62" s="863" t="str">
        <f t="shared" si="19"/>
        <v/>
      </c>
      <c r="H62" s="864" t="str">
        <f t="shared" ref="H62:I62" si="66">IF(H30=0,"",H30)</f>
        <v/>
      </c>
      <c r="I62" s="865" t="str">
        <f t="shared" si="66"/>
        <v/>
      </c>
      <c r="J62" s="863" t="str">
        <f t="shared" si="21"/>
        <v/>
      </c>
      <c r="K62" s="866" t="str">
        <f t="shared" ref="K62" si="67">IF(K30="","",K30)</f>
        <v/>
      </c>
      <c r="L62" s="1293"/>
      <c r="M62" s="847">
        <v>0</v>
      </c>
      <c r="N62" s="1521">
        <v>0</v>
      </c>
      <c r="O62" s="1522" t="str">
        <f t="shared" si="26"/>
        <v/>
      </c>
      <c r="P62" s="1305">
        <f t="shared" si="27"/>
        <v>0</v>
      </c>
      <c r="Q62" s="1304">
        <v>0</v>
      </c>
      <c r="R62" s="392" t="str">
        <f t="shared" si="28"/>
        <v/>
      </c>
      <c r="S62" s="392" t="str">
        <f t="shared" si="29"/>
        <v/>
      </c>
      <c r="T62" s="393">
        <f>ROUND(IF(K62="",0,+Q62/1659*(AB62*12*(1+tab!$D$111+tab!$D$112)-tab!$D$110)*tab!$D$108),-1)</f>
        <v>0</v>
      </c>
      <c r="U62" s="1321" t="str">
        <f t="shared" si="30"/>
        <v/>
      </c>
      <c r="V62" s="376"/>
      <c r="W62" s="25"/>
      <c r="AB62" s="1314" t="str">
        <f t="shared" si="23"/>
        <v/>
      </c>
      <c r="AC62" s="1374">
        <f>tab!$D$101</f>
        <v>0.53</v>
      </c>
      <c r="AD62" s="1313" t="e">
        <f t="shared" si="31"/>
        <v>#VALUE!</v>
      </c>
      <c r="AE62" s="1313" t="e">
        <f t="shared" si="32"/>
        <v>#VALUE!</v>
      </c>
      <c r="AF62" s="1313" t="e">
        <f t="shared" si="33"/>
        <v>#VALUE!</v>
      </c>
      <c r="AG62" s="14">
        <f t="shared" si="34"/>
        <v>0</v>
      </c>
      <c r="AH62" s="1315" t="str">
        <f t="shared" si="35"/>
        <v/>
      </c>
      <c r="AI62" s="14">
        <f t="shared" si="36"/>
        <v>0</v>
      </c>
      <c r="AJ62" s="1316">
        <f t="shared" si="37"/>
        <v>0.5</v>
      </c>
      <c r="AK62" s="6">
        <f t="shared" si="38"/>
        <v>0</v>
      </c>
      <c r="AL62" s="1317">
        <f t="shared" si="39"/>
        <v>0</v>
      </c>
      <c r="AT62" s="271"/>
    </row>
    <row r="63" spans="2:46" ht="12.75" customHeight="1" x14ac:dyDescent="0.2">
      <c r="B63" s="21"/>
      <c r="C63" s="35"/>
      <c r="D63" s="862" t="str">
        <f t="shared" si="16"/>
        <v/>
      </c>
      <c r="E63" s="862" t="str">
        <f t="shared" si="17"/>
        <v/>
      </c>
      <c r="F63" s="862" t="str">
        <f t="shared" si="18"/>
        <v/>
      </c>
      <c r="G63" s="863" t="str">
        <f t="shared" si="19"/>
        <v/>
      </c>
      <c r="H63" s="864" t="str">
        <f t="shared" ref="H63:I63" si="68">IF(H31=0,"",H31)</f>
        <v/>
      </c>
      <c r="I63" s="865" t="str">
        <f t="shared" si="68"/>
        <v/>
      </c>
      <c r="J63" s="863" t="str">
        <f t="shared" si="21"/>
        <v/>
      </c>
      <c r="K63" s="866" t="str">
        <f t="shared" ref="K63" si="69">IF(K31="","",K31)</f>
        <v/>
      </c>
      <c r="L63" s="1293"/>
      <c r="M63" s="847">
        <v>0</v>
      </c>
      <c r="N63" s="1521">
        <v>0</v>
      </c>
      <c r="O63" s="1522" t="str">
        <f t="shared" si="26"/>
        <v/>
      </c>
      <c r="P63" s="1305">
        <f t="shared" si="27"/>
        <v>0</v>
      </c>
      <c r="Q63" s="1304">
        <v>0</v>
      </c>
      <c r="R63" s="392" t="str">
        <f t="shared" si="28"/>
        <v/>
      </c>
      <c r="S63" s="392" t="str">
        <f t="shared" si="29"/>
        <v/>
      </c>
      <c r="T63" s="393">
        <f>ROUND(IF(K63="",0,+Q63/1659*(AB63*12*(1+tab!$D$111+tab!$D$112)-tab!$D$110)*tab!$D$108),-1)</f>
        <v>0</v>
      </c>
      <c r="U63" s="1321" t="str">
        <f t="shared" si="30"/>
        <v/>
      </c>
      <c r="V63" s="376"/>
      <c r="W63" s="25"/>
      <c r="AB63" s="1314" t="str">
        <f t="shared" si="23"/>
        <v/>
      </c>
      <c r="AC63" s="1374">
        <f>tab!$D$101</f>
        <v>0.53</v>
      </c>
      <c r="AD63" s="1313" t="e">
        <f t="shared" si="31"/>
        <v>#VALUE!</v>
      </c>
      <c r="AE63" s="1313" t="e">
        <f t="shared" si="32"/>
        <v>#VALUE!</v>
      </c>
      <c r="AF63" s="1313" t="e">
        <f t="shared" si="33"/>
        <v>#VALUE!</v>
      </c>
      <c r="AG63" s="14">
        <f t="shared" si="34"/>
        <v>0</v>
      </c>
      <c r="AH63" s="1315" t="str">
        <f t="shared" si="35"/>
        <v/>
      </c>
      <c r="AI63" s="14">
        <f t="shared" si="36"/>
        <v>0</v>
      </c>
      <c r="AJ63" s="1316">
        <f t="shared" si="37"/>
        <v>0.5</v>
      </c>
      <c r="AK63" s="6">
        <f t="shared" si="38"/>
        <v>0</v>
      </c>
      <c r="AL63" s="1317">
        <f t="shared" si="39"/>
        <v>0</v>
      </c>
      <c r="AT63" s="271"/>
    </row>
    <row r="64" spans="2:46" ht="12.75" customHeight="1" x14ac:dyDescent="0.2">
      <c r="B64" s="21"/>
      <c r="C64" s="35"/>
      <c r="D64" s="862" t="str">
        <f t="shared" si="16"/>
        <v/>
      </c>
      <c r="E64" s="862" t="str">
        <f t="shared" si="17"/>
        <v/>
      </c>
      <c r="F64" s="862" t="str">
        <f t="shared" si="18"/>
        <v/>
      </c>
      <c r="G64" s="863" t="str">
        <f t="shared" si="19"/>
        <v/>
      </c>
      <c r="H64" s="864" t="str">
        <f t="shared" ref="H64:I64" si="70">IF(H32=0,"",H32)</f>
        <v/>
      </c>
      <c r="I64" s="865" t="str">
        <f t="shared" si="70"/>
        <v/>
      </c>
      <c r="J64" s="863" t="str">
        <f t="shared" si="21"/>
        <v/>
      </c>
      <c r="K64" s="866" t="str">
        <f t="shared" ref="K64" si="71">IF(K32="","",K32)</f>
        <v/>
      </c>
      <c r="L64" s="1293"/>
      <c r="M64" s="847">
        <v>0</v>
      </c>
      <c r="N64" s="1521">
        <v>0</v>
      </c>
      <c r="O64" s="1522" t="str">
        <f t="shared" si="26"/>
        <v/>
      </c>
      <c r="P64" s="1305">
        <f t="shared" si="27"/>
        <v>0</v>
      </c>
      <c r="Q64" s="1304">
        <v>0</v>
      </c>
      <c r="R64" s="392" t="str">
        <f t="shared" si="28"/>
        <v/>
      </c>
      <c r="S64" s="392" t="str">
        <f t="shared" si="29"/>
        <v/>
      </c>
      <c r="T64" s="393">
        <f>ROUND(IF(K64="",0,+Q64/1659*(AB64*12*(1+tab!$D$111+tab!$D$112)-tab!$D$110)*tab!$D$108),-1)</f>
        <v>0</v>
      </c>
      <c r="U64" s="1321" t="str">
        <f t="shared" si="30"/>
        <v/>
      </c>
      <c r="V64" s="376"/>
      <c r="W64" s="25"/>
      <c r="AB64" s="1314" t="str">
        <f t="shared" si="23"/>
        <v/>
      </c>
      <c r="AC64" s="1374">
        <f>tab!$D$101</f>
        <v>0.53</v>
      </c>
      <c r="AD64" s="1313" t="e">
        <f t="shared" si="31"/>
        <v>#VALUE!</v>
      </c>
      <c r="AE64" s="1313" t="e">
        <f t="shared" si="32"/>
        <v>#VALUE!</v>
      </c>
      <c r="AF64" s="1313" t="e">
        <f t="shared" si="33"/>
        <v>#VALUE!</v>
      </c>
      <c r="AG64" s="14">
        <f t="shared" si="34"/>
        <v>0</v>
      </c>
      <c r="AH64" s="1315" t="str">
        <f t="shared" si="35"/>
        <v/>
      </c>
      <c r="AI64" s="14">
        <f t="shared" si="36"/>
        <v>0</v>
      </c>
      <c r="AJ64" s="1316">
        <f t="shared" si="37"/>
        <v>0.5</v>
      </c>
      <c r="AK64" s="6">
        <f t="shared" si="38"/>
        <v>0</v>
      </c>
      <c r="AL64" s="1317">
        <f t="shared" si="39"/>
        <v>0</v>
      </c>
      <c r="AT64" s="271"/>
    </row>
    <row r="65" spans="2:46" ht="12.75" customHeight="1" x14ac:dyDescent="0.2">
      <c r="B65" s="21"/>
      <c r="C65" s="35"/>
      <c r="D65" s="862" t="str">
        <f t="shared" si="16"/>
        <v/>
      </c>
      <c r="E65" s="862" t="str">
        <f t="shared" si="17"/>
        <v/>
      </c>
      <c r="F65" s="862" t="str">
        <f t="shared" si="18"/>
        <v/>
      </c>
      <c r="G65" s="863" t="str">
        <f t="shared" si="19"/>
        <v/>
      </c>
      <c r="H65" s="864" t="str">
        <f t="shared" ref="H65:I65" si="72">IF(H33=0,"",H33)</f>
        <v/>
      </c>
      <c r="I65" s="865" t="str">
        <f t="shared" si="72"/>
        <v/>
      </c>
      <c r="J65" s="863" t="str">
        <f t="shared" si="21"/>
        <v/>
      </c>
      <c r="K65" s="866" t="str">
        <f t="shared" ref="K65" si="73">IF(K33="","",K33)</f>
        <v/>
      </c>
      <c r="L65" s="1293"/>
      <c r="M65" s="847">
        <v>0</v>
      </c>
      <c r="N65" s="1521">
        <v>0</v>
      </c>
      <c r="O65" s="1522" t="str">
        <f t="shared" si="26"/>
        <v/>
      </c>
      <c r="P65" s="1305">
        <f t="shared" si="27"/>
        <v>0</v>
      </c>
      <c r="Q65" s="1304">
        <v>0</v>
      </c>
      <c r="R65" s="392" t="str">
        <f t="shared" si="28"/>
        <v/>
      </c>
      <c r="S65" s="392" t="str">
        <f t="shared" si="29"/>
        <v/>
      </c>
      <c r="T65" s="393">
        <f>ROUND(IF(K65="",0,+Q65/1659*(AB65*12*(1+tab!$D$111+tab!$D$112)-tab!$D$110)*tab!$D$108),-1)</f>
        <v>0</v>
      </c>
      <c r="U65" s="1321" t="str">
        <f t="shared" si="30"/>
        <v/>
      </c>
      <c r="V65" s="376"/>
      <c r="W65" s="25"/>
      <c r="AB65" s="1314" t="str">
        <f t="shared" si="23"/>
        <v/>
      </c>
      <c r="AC65" s="1374">
        <f>tab!$D$101</f>
        <v>0.53</v>
      </c>
      <c r="AD65" s="1313" t="e">
        <f t="shared" si="31"/>
        <v>#VALUE!</v>
      </c>
      <c r="AE65" s="1313" t="e">
        <f t="shared" si="32"/>
        <v>#VALUE!</v>
      </c>
      <c r="AF65" s="1313" t="e">
        <f t="shared" si="33"/>
        <v>#VALUE!</v>
      </c>
      <c r="AG65" s="14">
        <f t="shared" si="34"/>
        <v>0</v>
      </c>
      <c r="AH65" s="1315" t="str">
        <f t="shared" si="35"/>
        <v/>
      </c>
      <c r="AI65" s="14">
        <f t="shared" si="36"/>
        <v>0</v>
      </c>
      <c r="AJ65" s="1316">
        <f t="shared" si="37"/>
        <v>0.5</v>
      </c>
      <c r="AK65" s="6">
        <f t="shared" si="38"/>
        <v>0</v>
      </c>
      <c r="AL65" s="1317">
        <f t="shared" si="39"/>
        <v>0</v>
      </c>
      <c r="AT65" s="271"/>
    </row>
    <row r="66" spans="2:46" ht="12.75" customHeight="1" x14ac:dyDescent="0.2">
      <c r="B66" s="21"/>
      <c r="C66" s="35"/>
      <c r="D66" s="862" t="str">
        <f t="shared" si="16"/>
        <v/>
      </c>
      <c r="E66" s="862" t="str">
        <f t="shared" si="17"/>
        <v/>
      </c>
      <c r="F66" s="862" t="str">
        <f t="shared" si="18"/>
        <v/>
      </c>
      <c r="G66" s="863" t="str">
        <f t="shared" si="19"/>
        <v/>
      </c>
      <c r="H66" s="864" t="str">
        <f t="shared" ref="H66:I66" si="74">IF(H34=0,"",H34)</f>
        <v/>
      </c>
      <c r="I66" s="865" t="str">
        <f t="shared" si="74"/>
        <v/>
      </c>
      <c r="J66" s="863" t="str">
        <f t="shared" si="21"/>
        <v/>
      </c>
      <c r="K66" s="866" t="str">
        <f t="shared" ref="K66" si="75">IF(K34="","",K34)</f>
        <v/>
      </c>
      <c r="L66" s="1293"/>
      <c r="M66" s="847">
        <v>0</v>
      </c>
      <c r="N66" s="1521">
        <v>0</v>
      </c>
      <c r="O66" s="1522" t="str">
        <f t="shared" si="26"/>
        <v/>
      </c>
      <c r="P66" s="1305">
        <f t="shared" si="27"/>
        <v>0</v>
      </c>
      <c r="Q66" s="1304">
        <v>0</v>
      </c>
      <c r="R66" s="392" t="str">
        <f t="shared" si="28"/>
        <v/>
      </c>
      <c r="S66" s="392" t="str">
        <f t="shared" si="29"/>
        <v/>
      </c>
      <c r="T66" s="393">
        <f>ROUND(IF(K66="",0,+Q66/1659*(AB66*12*(1+tab!$D$111+tab!$D$112)-tab!$D$110)*tab!$D$108),-1)</f>
        <v>0</v>
      </c>
      <c r="U66" s="1321" t="str">
        <f t="shared" si="30"/>
        <v/>
      </c>
      <c r="V66" s="376"/>
      <c r="W66" s="25"/>
      <c r="AB66" s="1314" t="str">
        <f t="shared" si="23"/>
        <v/>
      </c>
      <c r="AC66" s="1374">
        <f>tab!$D$101</f>
        <v>0.53</v>
      </c>
      <c r="AD66" s="1313" t="e">
        <f t="shared" si="31"/>
        <v>#VALUE!</v>
      </c>
      <c r="AE66" s="1313" t="e">
        <f t="shared" si="32"/>
        <v>#VALUE!</v>
      </c>
      <c r="AF66" s="1313" t="e">
        <f t="shared" si="33"/>
        <v>#VALUE!</v>
      </c>
      <c r="AG66" s="14">
        <f t="shared" si="34"/>
        <v>0</v>
      </c>
      <c r="AH66" s="1315" t="str">
        <f t="shared" si="35"/>
        <v/>
      </c>
      <c r="AI66" s="14">
        <f t="shared" si="36"/>
        <v>0</v>
      </c>
      <c r="AJ66" s="1316">
        <f t="shared" si="37"/>
        <v>0.5</v>
      </c>
      <c r="AK66" s="6">
        <f t="shared" si="38"/>
        <v>0</v>
      </c>
      <c r="AL66" s="1317">
        <f t="shared" si="39"/>
        <v>0</v>
      </c>
      <c r="AT66" s="271"/>
    </row>
    <row r="67" spans="2:46" ht="12.75" customHeight="1" x14ac:dyDescent="0.2">
      <c r="B67" s="21"/>
      <c r="C67" s="35"/>
      <c r="D67" s="377"/>
      <c r="E67" s="377"/>
      <c r="F67" s="377"/>
      <c r="G67" s="192"/>
      <c r="H67" s="378"/>
      <c r="I67" s="192"/>
      <c r="J67" s="379"/>
      <c r="K67" s="394">
        <f>SUM(K47:K66)</f>
        <v>0</v>
      </c>
      <c r="L67" s="1284"/>
      <c r="M67" s="1303">
        <f>SUM(M47:M66)</f>
        <v>0</v>
      </c>
      <c r="N67" s="1303">
        <f t="shared" ref="N67" si="76">SUM(N47:N66)</f>
        <v>0</v>
      </c>
      <c r="O67" s="1303">
        <f t="shared" ref="O67" si="77">SUM(O47:O66)</f>
        <v>0</v>
      </c>
      <c r="P67" s="1303">
        <f t="shared" ref="P67" si="78">SUM(P47:P66)</f>
        <v>0</v>
      </c>
      <c r="Q67" s="1303">
        <f t="shared" ref="Q67" si="79">SUM(Q47:Q66)</f>
        <v>0</v>
      </c>
      <c r="R67" s="1319">
        <f t="shared" ref="R67" si="80">SUM(R47:R66)</f>
        <v>0</v>
      </c>
      <c r="S67" s="1319">
        <f t="shared" ref="S67" si="81">SUM(S47:S66)</f>
        <v>0</v>
      </c>
      <c r="T67" s="1319">
        <f t="shared" ref="T67" si="82">SUM(T47:T66)</f>
        <v>0</v>
      </c>
      <c r="U67" s="1320">
        <f t="shared" ref="U67" si="83">SUM(U47:U66)</f>
        <v>0</v>
      </c>
      <c r="V67" s="361"/>
      <c r="W67" s="25"/>
      <c r="AB67" s="1314">
        <f>SUM(AB47:AB66)</f>
        <v>0</v>
      </c>
      <c r="AL67" s="1317">
        <f>SUM(AL47:AL66)</f>
        <v>0</v>
      </c>
      <c r="AT67" s="271"/>
    </row>
    <row r="68" spans="2:46" ht="12.75" customHeight="1" x14ac:dyDescent="0.2">
      <c r="B68" s="21"/>
      <c r="C68" s="35"/>
      <c r="D68" s="187"/>
      <c r="E68" s="187"/>
      <c r="F68" s="187"/>
      <c r="G68" s="186"/>
      <c r="H68" s="193"/>
      <c r="I68" s="186"/>
      <c r="J68" s="361"/>
      <c r="K68" s="362"/>
      <c r="L68" s="1290"/>
      <c r="M68" s="362"/>
      <c r="N68" s="361"/>
      <c r="O68" s="361"/>
      <c r="P68" s="380"/>
      <c r="Q68" s="380"/>
      <c r="R68" s="380"/>
      <c r="S68" s="380"/>
      <c r="T68" s="365"/>
      <c r="U68" s="381"/>
      <c r="V68" s="361"/>
      <c r="W68" s="25"/>
    </row>
    <row r="69" spans="2:46" ht="12.75" customHeight="1" x14ac:dyDescent="0.2">
      <c r="B69" s="21"/>
      <c r="C69" s="22"/>
      <c r="D69" s="297"/>
      <c r="E69" s="297"/>
      <c r="F69" s="297"/>
      <c r="G69" s="24"/>
      <c r="H69" s="298"/>
      <c r="I69" s="24"/>
      <c r="J69" s="299"/>
      <c r="K69" s="347"/>
      <c r="L69" s="1285"/>
      <c r="M69" s="300"/>
      <c r="N69" s="22"/>
      <c r="O69" s="348"/>
      <c r="P69" s="349"/>
      <c r="Q69" s="349"/>
      <c r="R69" s="349"/>
      <c r="S69" s="349"/>
      <c r="T69" s="350"/>
      <c r="U69" s="351"/>
      <c r="V69" s="22"/>
      <c r="W69" s="25"/>
    </row>
    <row r="70" spans="2:46" ht="12.75" customHeight="1" x14ac:dyDescent="0.2">
      <c r="B70" s="21"/>
      <c r="C70" s="22"/>
      <c r="D70" s="297"/>
      <c r="E70" s="297"/>
      <c r="F70" s="297"/>
      <c r="G70" s="24"/>
      <c r="H70" s="298"/>
      <c r="I70" s="24"/>
      <c r="J70" s="299"/>
      <c r="K70" s="347"/>
      <c r="L70" s="1285"/>
      <c r="M70" s="300"/>
      <c r="N70" s="22"/>
      <c r="O70" s="348"/>
      <c r="P70" s="349"/>
      <c r="Q70" s="349"/>
      <c r="R70" s="349"/>
      <c r="S70" s="349"/>
      <c r="T70" s="350"/>
      <c r="U70" s="351"/>
      <c r="V70" s="22"/>
      <c r="W70" s="895"/>
    </row>
    <row r="71" spans="2:46" s="249" customFormat="1" ht="12.75" customHeight="1" x14ac:dyDescent="0.25">
      <c r="B71" s="330"/>
      <c r="C71" s="22" t="s">
        <v>145</v>
      </c>
      <c r="D71" s="297"/>
      <c r="E71" s="343" t="str">
        <f>tab!F2</f>
        <v>2016/17</v>
      </c>
      <c r="F71" s="333"/>
      <c r="G71" s="334"/>
      <c r="H71" s="335"/>
      <c r="I71" s="336"/>
      <c r="J71" s="336"/>
      <c r="K71" s="337"/>
      <c r="L71" s="1289"/>
      <c r="M71" s="338"/>
      <c r="N71" s="331"/>
      <c r="O71" s="339"/>
      <c r="P71" s="331"/>
      <c r="Q71" s="331"/>
      <c r="R71" s="331"/>
      <c r="S71" s="331"/>
      <c r="T71" s="340"/>
      <c r="U71" s="341"/>
      <c r="V71" s="331"/>
      <c r="W71" s="342"/>
      <c r="AC71" s="253"/>
      <c r="AD71" s="254"/>
      <c r="AE71" s="253"/>
      <c r="AF71" s="253"/>
      <c r="AG71" s="253"/>
      <c r="AH71" s="253"/>
      <c r="AI71" s="251"/>
      <c r="AJ71" s="250"/>
      <c r="AK71" s="252"/>
      <c r="AL71" s="255"/>
      <c r="AM71" s="251"/>
    </row>
    <row r="72" spans="2:46" ht="12.75" customHeight="1" x14ac:dyDescent="0.2">
      <c r="B72" s="21"/>
      <c r="C72" s="22" t="s">
        <v>146</v>
      </c>
      <c r="D72" s="297"/>
      <c r="E72" s="343">
        <f>tab!G3</f>
        <v>42644</v>
      </c>
      <c r="F72" s="53"/>
      <c r="G72" s="54"/>
      <c r="H72" s="344"/>
      <c r="I72" s="299"/>
      <c r="J72" s="299"/>
      <c r="K72" s="300"/>
      <c r="M72" s="301"/>
      <c r="N72" s="22"/>
      <c r="O72" s="302"/>
      <c r="P72" s="22"/>
      <c r="Q72" s="22"/>
      <c r="R72" s="22"/>
      <c r="S72" s="22"/>
      <c r="T72" s="303"/>
      <c r="U72" s="304"/>
      <c r="V72" s="22"/>
      <c r="W72" s="25"/>
      <c r="AC72" s="247"/>
      <c r="AD72" s="248"/>
      <c r="AE72" s="247"/>
      <c r="AF72" s="247"/>
      <c r="AG72" s="247"/>
      <c r="AH72" s="247"/>
      <c r="AI72" s="226"/>
      <c r="AJ72" s="225"/>
      <c r="AK72" s="227"/>
      <c r="AL72" s="14"/>
      <c r="AM72" s="226"/>
    </row>
    <row r="73" spans="2:46" ht="12.75" customHeight="1" x14ac:dyDescent="0.25">
      <c r="B73" s="21"/>
      <c r="C73" s="480" t="s">
        <v>548</v>
      </c>
      <c r="D73" s="332"/>
      <c r="E73" s="345"/>
      <c r="F73" s="53"/>
      <c r="G73" s="54"/>
      <c r="H73" s="344"/>
      <c r="I73" s="299"/>
      <c r="J73" s="299"/>
      <c r="K73" s="300"/>
      <c r="M73" s="301"/>
      <c r="N73" s="22"/>
      <c r="O73" s="302"/>
      <c r="P73" s="22"/>
      <c r="Q73" s="22"/>
      <c r="R73" s="22"/>
      <c r="S73" s="22"/>
      <c r="T73" s="303"/>
      <c r="U73" s="304"/>
      <c r="V73" s="22"/>
      <c r="W73" s="25"/>
      <c r="AC73" s="257"/>
      <c r="AD73" s="258"/>
      <c r="AE73" s="257"/>
      <c r="AF73" s="257"/>
      <c r="AG73" s="257"/>
      <c r="AH73" s="247"/>
      <c r="AI73" s="259"/>
      <c r="AJ73" s="260"/>
      <c r="AK73" s="261"/>
      <c r="AL73" s="262"/>
      <c r="AM73" s="259"/>
    </row>
    <row r="74" spans="2:46" ht="12.75" customHeight="1" x14ac:dyDescent="0.2">
      <c r="B74" s="21"/>
      <c r="C74" s="35"/>
      <c r="D74" s="187"/>
      <c r="E74" s="93"/>
      <c r="F74" s="187"/>
      <c r="G74" s="186"/>
      <c r="H74" s="193"/>
      <c r="I74" s="361"/>
      <c r="J74" s="361"/>
      <c r="K74" s="362"/>
      <c r="L74" s="1290"/>
      <c r="M74" s="363"/>
      <c r="N74" s="35"/>
      <c r="O74" s="364"/>
      <c r="P74" s="35"/>
      <c r="Q74" s="35"/>
      <c r="R74" s="35"/>
      <c r="S74" s="35"/>
      <c r="T74" s="365"/>
      <c r="U74" s="366"/>
      <c r="V74" s="35"/>
      <c r="W74" s="25"/>
      <c r="X74" s="952"/>
      <c r="AC74" s="1306"/>
      <c r="AD74" s="1307"/>
      <c r="AE74" s="1306"/>
      <c r="AF74" s="1306"/>
      <c r="AG74" s="1306"/>
      <c r="AH74" s="1308"/>
      <c r="AI74" s="1309"/>
      <c r="AJ74" s="1310"/>
      <c r="AK74" s="1311"/>
      <c r="AL74" s="1312"/>
      <c r="AM74" s="259"/>
    </row>
    <row r="75" spans="2:46" s="1282" customFormat="1" ht="12.75" customHeight="1" x14ac:dyDescent="0.2">
      <c r="B75" s="1280"/>
      <c r="C75" s="1281"/>
      <c r="D75" s="1277" t="s">
        <v>147</v>
      </c>
      <c r="E75" s="1278"/>
      <c r="F75" s="1278"/>
      <c r="G75" s="1278"/>
      <c r="H75" s="1278"/>
      <c r="I75" s="1278"/>
      <c r="J75" s="1278"/>
      <c r="K75" s="1278"/>
      <c r="L75" s="1286"/>
      <c r="M75" s="1327" t="s">
        <v>817</v>
      </c>
      <c r="N75" s="1328"/>
      <c r="O75" s="1329"/>
      <c r="P75" s="1329"/>
      <c r="Q75" s="1328"/>
      <c r="R75" s="1330" t="s">
        <v>818</v>
      </c>
      <c r="S75" s="1331"/>
      <c r="T75" s="1331"/>
      <c r="U75" s="1331"/>
      <c r="V75" s="1332"/>
      <c r="W75" s="1333"/>
      <c r="X75" s="1334"/>
      <c r="Y75" s="1335"/>
      <c r="Z75" s="1336"/>
      <c r="AA75" s="1336"/>
      <c r="AB75" s="1337"/>
      <c r="AC75" s="1338"/>
      <c r="AD75" s="1339"/>
      <c r="AE75" s="1338"/>
      <c r="AF75" s="1340"/>
      <c r="AG75" s="1340"/>
      <c r="AH75" s="1341"/>
      <c r="AI75" s="1342"/>
      <c r="AJ75" s="1341"/>
      <c r="AK75" s="1343"/>
      <c r="AL75" s="1343"/>
      <c r="AN75" s="263"/>
      <c r="AO75" s="263"/>
    </row>
    <row r="76" spans="2:46" s="212" customFormat="1" ht="12.75" customHeight="1" x14ac:dyDescent="0.2">
      <c r="B76" s="215"/>
      <c r="C76" s="367"/>
      <c r="D76" s="383" t="s">
        <v>148</v>
      </c>
      <c r="E76" s="383" t="s">
        <v>149</v>
      </c>
      <c r="F76" s="383" t="s">
        <v>150</v>
      </c>
      <c r="G76" s="384" t="s">
        <v>151</v>
      </c>
      <c r="H76" s="385" t="s">
        <v>152</v>
      </c>
      <c r="I76" s="384" t="s">
        <v>115</v>
      </c>
      <c r="J76" s="384" t="s">
        <v>153</v>
      </c>
      <c r="K76" s="386" t="s">
        <v>154</v>
      </c>
      <c r="L76" s="1291"/>
      <c r="M76" s="1354" t="s">
        <v>819</v>
      </c>
      <c r="N76" s="1355" t="s">
        <v>820</v>
      </c>
      <c r="O76" s="1356" t="s">
        <v>821</v>
      </c>
      <c r="P76" s="1357" t="s">
        <v>822</v>
      </c>
      <c r="Q76" s="1355" t="s">
        <v>823</v>
      </c>
      <c r="R76" s="1356" t="s">
        <v>155</v>
      </c>
      <c r="S76" s="1354" t="s">
        <v>824</v>
      </c>
      <c r="T76" s="1354" t="s">
        <v>825</v>
      </c>
      <c r="U76" s="1354" t="s">
        <v>155</v>
      </c>
      <c r="V76" s="1358"/>
      <c r="W76" s="1359"/>
      <c r="X76" s="1360"/>
      <c r="Y76" s="1361"/>
      <c r="Z76" s="1362"/>
      <c r="AA76" s="1362"/>
      <c r="AB76" s="1371" t="s">
        <v>290</v>
      </c>
      <c r="AC76" s="1372" t="s">
        <v>826</v>
      </c>
      <c r="AD76" s="1373" t="s">
        <v>827</v>
      </c>
      <c r="AE76" s="1373" t="s">
        <v>827</v>
      </c>
      <c r="AF76" s="1373" t="s">
        <v>828</v>
      </c>
      <c r="AG76" s="1373" t="s">
        <v>823</v>
      </c>
      <c r="AH76" s="1373" t="s">
        <v>829</v>
      </c>
      <c r="AI76" s="1373" t="s">
        <v>830</v>
      </c>
      <c r="AJ76" s="1373" t="s">
        <v>831</v>
      </c>
      <c r="AK76" s="1373" t="s">
        <v>157</v>
      </c>
      <c r="AL76" s="1165" t="s">
        <v>303</v>
      </c>
      <c r="AN76" s="263"/>
      <c r="AO76" s="265"/>
    </row>
    <row r="77" spans="2:46" s="212" customFormat="1" ht="12.75" customHeight="1" x14ac:dyDescent="0.2">
      <c r="B77" s="215"/>
      <c r="C77" s="367"/>
      <c r="D77" s="388"/>
      <c r="E77" s="383"/>
      <c r="F77" s="389"/>
      <c r="G77" s="384" t="s">
        <v>159</v>
      </c>
      <c r="H77" s="385" t="s">
        <v>160</v>
      </c>
      <c r="I77" s="384"/>
      <c r="J77" s="384"/>
      <c r="K77" s="386"/>
      <c r="L77" s="1291"/>
      <c r="M77" s="1367" t="s">
        <v>832</v>
      </c>
      <c r="N77" s="1355" t="s">
        <v>833</v>
      </c>
      <c r="O77" s="1356" t="s">
        <v>834</v>
      </c>
      <c r="P77" s="1357" t="s">
        <v>95</v>
      </c>
      <c r="Q77" s="1355" t="s">
        <v>835</v>
      </c>
      <c r="R77" s="1356" t="s">
        <v>836</v>
      </c>
      <c r="S77" s="1368" t="s">
        <v>837</v>
      </c>
      <c r="T77" s="1368" t="s">
        <v>838</v>
      </c>
      <c r="U77" s="1354" t="s">
        <v>95</v>
      </c>
      <c r="V77" s="1358"/>
      <c r="W77" s="1359"/>
      <c r="X77" s="1360"/>
      <c r="Y77" s="1369"/>
      <c r="Z77" s="1362"/>
      <c r="AA77" s="1362"/>
      <c r="AB77" s="1373" t="s">
        <v>839</v>
      </c>
      <c r="AC77" s="1374">
        <f>tab!$D$101</f>
        <v>0.53</v>
      </c>
      <c r="AD77" s="1373" t="s">
        <v>840</v>
      </c>
      <c r="AE77" s="1373" t="s">
        <v>841</v>
      </c>
      <c r="AF77" s="1373" t="s">
        <v>842</v>
      </c>
      <c r="AG77" s="1373" t="s">
        <v>835</v>
      </c>
      <c r="AH77" s="1373" t="s">
        <v>843</v>
      </c>
      <c r="AI77" s="1373" t="s">
        <v>843</v>
      </c>
      <c r="AJ77" s="1373" t="s">
        <v>844</v>
      </c>
      <c r="AK77" s="1373"/>
      <c r="AL77" s="1373" t="s">
        <v>156</v>
      </c>
      <c r="AO77" s="266"/>
    </row>
    <row r="78" spans="2:46" ht="12.75" customHeight="1" x14ac:dyDescent="0.2">
      <c r="B78" s="21"/>
      <c r="C78" s="35"/>
      <c r="D78" s="187"/>
      <c r="E78" s="187"/>
      <c r="F78" s="187"/>
      <c r="G78" s="186"/>
      <c r="H78" s="193"/>
      <c r="I78" s="368"/>
      <c r="J78" s="368"/>
      <c r="K78" s="369"/>
      <c r="L78" s="1292"/>
      <c r="M78" s="369"/>
      <c r="N78" s="370"/>
      <c r="O78" s="371"/>
      <c r="P78" s="372"/>
      <c r="Q78" s="372"/>
      <c r="R78" s="372"/>
      <c r="S78" s="372"/>
      <c r="T78" s="373"/>
      <c r="U78" s="374"/>
      <c r="V78" s="370"/>
      <c r="W78" s="25"/>
      <c r="AC78" s="6"/>
      <c r="AD78" s="6"/>
      <c r="AL78" s="6"/>
      <c r="AM78" s="6"/>
      <c r="AO78" s="269"/>
    </row>
    <row r="79" spans="2:46" ht="12.75" customHeight="1" x14ac:dyDescent="0.2">
      <c r="B79" s="21"/>
      <c r="C79" s="35"/>
      <c r="D79" s="862" t="str">
        <f t="shared" ref="D79:D98" si="84">IF(D47=0,"",D47)</f>
        <v/>
      </c>
      <c r="E79" s="862" t="str">
        <f t="shared" ref="E79:E98" si="85">IF(E47="","",E47)</f>
        <v/>
      </c>
      <c r="F79" s="862" t="str">
        <f t="shared" ref="F79:F98" si="86">IF(F47=0,"",F47)</f>
        <v/>
      </c>
      <c r="G79" s="863" t="str">
        <f t="shared" ref="G79:G98" si="87">IF(G47="","",G47+1)</f>
        <v/>
      </c>
      <c r="H79" s="864" t="str">
        <f t="shared" ref="H79" si="88">IF(H47=0,"",H47)</f>
        <v/>
      </c>
      <c r="I79" s="865" t="str">
        <f>IF(I47=0,"",I47)</f>
        <v/>
      </c>
      <c r="J79" s="863" t="str">
        <f t="shared" ref="J79:J98" si="89">IF(E79="","",IF(J47&lt;VLOOKUP(I79,tabelsalaris2015VO,19,FALSE),J47+1,J47))</f>
        <v/>
      </c>
      <c r="K79" s="866" t="str">
        <f t="shared" ref="K79" si="90">IF(K47="","",K47)</f>
        <v/>
      </c>
      <c r="L79" s="1293"/>
      <c r="M79" s="847">
        <v>0</v>
      </c>
      <c r="N79" s="1521">
        <v>0</v>
      </c>
      <c r="O79" s="1522" t="str">
        <f>IF(K79="","",K79*50)</f>
        <v/>
      </c>
      <c r="P79" s="1305">
        <f>SUM(M79:O79)</f>
        <v>0</v>
      </c>
      <c r="Q79" s="1304">
        <v>0</v>
      </c>
      <c r="R79" s="392" t="str">
        <f>IF(K79="","",(1659*K79-P79)*AE79)</f>
        <v/>
      </c>
      <c r="S79" s="392" t="str">
        <f>IF(K79="","",P79*AF79+AD79*(AH79+AI79*(1-AJ79)))</f>
        <v/>
      </c>
      <c r="T79" s="393">
        <f>ROUND(IF(K79="",0,+Q79/1659*(AB79*12*(1+tab!$D$111+tab!$D$112)-tab!$D$110)*tab!$D$108),-1)</f>
        <v>0</v>
      </c>
      <c r="U79" s="1321" t="str">
        <f>IF(K79="","",IF(E79=0,0,(R79+S79+T79)))</f>
        <v/>
      </c>
      <c r="V79" s="376"/>
      <c r="W79" s="25"/>
      <c r="AB79" s="1314" t="str">
        <f t="shared" ref="AB79:AB98" si="91">IF(I79="","",VLOOKUP(I79,tabelsalaris2016VO,J79+2,FALSE)*5/12+VLOOKUP(I79,tabelsalaris2016VO,J79+2,FALSE)*7/12)</f>
        <v/>
      </c>
      <c r="AC79" s="1374">
        <f>tab!$D$101</f>
        <v>0.53</v>
      </c>
      <c r="AD79" s="1313" t="e">
        <f>AB79*12/1659</f>
        <v>#VALUE!</v>
      </c>
      <c r="AE79" s="1313" t="e">
        <f>AB79*12*(1+AC79)/1659</f>
        <v>#VALUE!</v>
      </c>
      <c r="AF79" s="1313" t="e">
        <f>+AE79-AD79</f>
        <v>#VALUE!</v>
      </c>
      <c r="AG79" s="14">
        <f>Q79</f>
        <v>0</v>
      </c>
      <c r="AH79" s="1315" t="str">
        <f>O79</f>
        <v/>
      </c>
      <c r="AI79" s="14">
        <f>(M79+N79)</f>
        <v>0</v>
      </c>
      <c r="AJ79" s="1316">
        <f>IF(I79&gt;8,50%,40%)</f>
        <v>0.5</v>
      </c>
      <c r="AK79" s="6">
        <f>IF(G79&lt;25,0,IF(G79=25,25,IF(G79&lt;40,0,IF(G79=40,40,IF(G79&gt;=40,0)))))</f>
        <v>0</v>
      </c>
      <c r="AL79" s="1317">
        <f>IF(AK79=25,AB79*1.08*K79/2,IF(AK79=40,AB79*1.08*K79,0))</f>
        <v>0</v>
      </c>
      <c r="AT79" s="270" t="s">
        <v>103</v>
      </c>
    </row>
    <row r="80" spans="2:46" ht="12.75" customHeight="1" x14ac:dyDescent="0.2">
      <c r="B80" s="21"/>
      <c r="C80" s="35"/>
      <c r="D80" s="862" t="str">
        <f t="shared" si="84"/>
        <v/>
      </c>
      <c r="E80" s="862" t="str">
        <f t="shared" si="85"/>
        <v/>
      </c>
      <c r="F80" s="862" t="str">
        <f t="shared" si="86"/>
        <v/>
      </c>
      <c r="G80" s="863" t="str">
        <f t="shared" si="87"/>
        <v/>
      </c>
      <c r="H80" s="864" t="str">
        <f t="shared" ref="H80:I80" si="92">IF(H48=0,"",H48)</f>
        <v/>
      </c>
      <c r="I80" s="865" t="str">
        <f t="shared" si="92"/>
        <v/>
      </c>
      <c r="J80" s="863" t="str">
        <f t="shared" si="89"/>
        <v/>
      </c>
      <c r="K80" s="866" t="str">
        <f t="shared" ref="K80" si="93">IF(K48="","",K48)</f>
        <v/>
      </c>
      <c r="L80" s="1293"/>
      <c r="M80" s="847">
        <v>0</v>
      </c>
      <c r="N80" s="1521">
        <v>0</v>
      </c>
      <c r="O80" s="1522" t="str">
        <f t="shared" ref="O80:O98" si="94">IF(K80="","",K80*50)</f>
        <v/>
      </c>
      <c r="P80" s="1305">
        <f t="shared" ref="P80:P98" si="95">SUM(M80:O80)</f>
        <v>0</v>
      </c>
      <c r="Q80" s="1304">
        <v>0</v>
      </c>
      <c r="R80" s="392" t="str">
        <f t="shared" ref="R80:R98" si="96">IF(K80="","",(1659*K80-P80)*AE80)</f>
        <v/>
      </c>
      <c r="S80" s="392" t="str">
        <f t="shared" ref="S80:S98" si="97">IF(K80="","",P80*AF80+AD80*(AH80+AI80*(1-AJ80)))</f>
        <v/>
      </c>
      <c r="T80" s="393">
        <f>ROUND(IF(K80="",0,+Q80/1659*(AB80*12*(1+tab!$D$111+tab!$D$112)-tab!$D$110)*tab!$D$108),-1)</f>
        <v>0</v>
      </c>
      <c r="U80" s="1321" t="str">
        <f t="shared" ref="U80:U98" si="98">IF(K80="","",IF(E80=0,0,(R80+S80+T80)))</f>
        <v/>
      </c>
      <c r="V80" s="376"/>
      <c r="W80" s="25"/>
      <c r="AB80" s="1314" t="str">
        <f t="shared" si="91"/>
        <v/>
      </c>
      <c r="AC80" s="1374">
        <f>tab!$D$101</f>
        <v>0.53</v>
      </c>
      <c r="AD80" s="1313" t="e">
        <f t="shared" ref="AD80:AD98" si="99">AB80*12/1659</f>
        <v>#VALUE!</v>
      </c>
      <c r="AE80" s="1313" t="e">
        <f t="shared" ref="AE80:AE98" si="100">AB80*12*(1+AC80)/1659</f>
        <v>#VALUE!</v>
      </c>
      <c r="AF80" s="1313" t="e">
        <f t="shared" ref="AF80:AF98" si="101">+AE80-AD80</f>
        <v>#VALUE!</v>
      </c>
      <c r="AG80" s="14">
        <f t="shared" ref="AG80:AG98" si="102">Q80</f>
        <v>0</v>
      </c>
      <c r="AH80" s="1315" t="str">
        <f t="shared" ref="AH80:AH98" si="103">O80</f>
        <v/>
      </c>
      <c r="AI80" s="14">
        <f t="shared" ref="AI80:AI98" si="104">(M80+N80)</f>
        <v>0</v>
      </c>
      <c r="AJ80" s="1316">
        <f t="shared" ref="AJ80:AJ98" si="105">IF(I80&gt;8,50%,40%)</f>
        <v>0.5</v>
      </c>
      <c r="AK80" s="6">
        <f t="shared" ref="AK80:AK98" si="106">IF(G80&lt;25,0,IF(G80=25,25,IF(G80&lt;40,0,IF(G80=40,40,IF(G80&gt;=40,0)))))</f>
        <v>0</v>
      </c>
      <c r="AL80" s="1317">
        <f t="shared" ref="AL80:AL98" si="107">IF(AK80=25,AB80*1.08*K80/2,IF(AK80=40,AB80*1.08*K80,0))</f>
        <v>0</v>
      </c>
      <c r="AT80" s="270" t="s">
        <v>104</v>
      </c>
    </row>
    <row r="81" spans="2:46" ht="12.75" customHeight="1" x14ac:dyDescent="0.2">
      <c r="B81" s="21"/>
      <c r="C81" s="35"/>
      <c r="D81" s="862" t="str">
        <f t="shared" si="84"/>
        <v/>
      </c>
      <c r="E81" s="862" t="str">
        <f t="shared" si="85"/>
        <v/>
      </c>
      <c r="F81" s="862" t="str">
        <f t="shared" si="86"/>
        <v/>
      </c>
      <c r="G81" s="863" t="str">
        <f t="shared" si="87"/>
        <v/>
      </c>
      <c r="H81" s="864" t="str">
        <f t="shared" ref="H81:I81" si="108">IF(H49=0,"",H49)</f>
        <v/>
      </c>
      <c r="I81" s="865" t="str">
        <f t="shared" si="108"/>
        <v/>
      </c>
      <c r="J81" s="863" t="str">
        <f t="shared" si="89"/>
        <v/>
      </c>
      <c r="K81" s="866" t="str">
        <f t="shared" ref="K81" si="109">IF(K49="","",K49)</f>
        <v/>
      </c>
      <c r="L81" s="1293"/>
      <c r="M81" s="847">
        <v>0</v>
      </c>
      <c r="N81" s="1521">
        <v>0</v>
      </c>
      <c r="O81" s="1522" t="str">
        <f t="shared" si="94"/>
        <v/>
      </c>
      <c r="P81" s="1305">
        <f t="shared" si="95"/>
        <v>0</v>
      </c>
      <c r="Q81" s="1304">
        <v>0</v>
      </c>
      <c r="R81" s="392" t="str">
        <f t="shared" si="96"/>
        <v/>
      </c>
      <c r="S81" s="392" t="str">
        <f t="shared" si="97"/>
        <v/>
      </c>
      <c r="T81" s="393">
        <f>ROUND(IF(K81="",0,+Q81/1659*(AB81*12*(1+tab!$D$111+tab!$D$112)-tab!$D$110)*tab!$D$108),-1)</f>
        <v>0</v>
      </c>
      <c r="U81" s="1321" t="str">
        <f t="shared" si="98"/>
        <v/>
      </c>
      <c r="V81" s="376"/>
      <c r="W81" s="25"/>
      <c r="AB81" s="1314" t="str">
        <f t="shared" si="91"/>
        <v/>
      </c>
      <c r="AC81" s="1374">
        <f>tab!$D$101</f>
        <v>0.53</v>
      </c>
      <c r="AD81" s="1313" t="e">
        <f t="shared" si="99"/>
        <v>#VALUE!</v>
      </c>
      <c r="AE81" s="1313" t="e">
        <f t="shared" si="100"/>
        <v>#VALUE!</v>
      </c>
      <c r="AF81" s="1313" t="e">
        <f t="shared" si="101"/>
        <v>#VALUE!</v>
      </c>
      <c r="AG81" s="14">
        <f t="shared" si="102"/>
        <v>0</v>
      </c>
      <c r="AH81" s="1315" t="str">
        <f t="shared" si="103"/>
        <v/>
      </c>
      <c r="AI81" s="14">
        <f t="shared" si="104"/>
        <v>0</v>
      </c>
      <c r="AJ81" s="1316">
        <f t="shared" si="105"/>
        <v>0.5</v>
      </c>
      <c r="AK81" s="6">
        <f t="shared" si="106"/>
        <v>0</v>
      </c>
      <c r="AL81" s="1317">
        <f t="shared" si="107"/>
        <v>0</v>
      </c>
      <c r="AT81" s="270" t="s">
        <v>105</v>
      </c>
    </row>
    <row r="82" spans="2:46" ht="12.75" customHeight="1" x14ac:dyDescent="0.2">
      <c r="B82" s="21"/>
      <c r="C82" s="35"/>
      <c r="D82" s="862" t="str">
        <f t="shared" si="84"/>
        <v/>
      </c>
      <c r="E82" s="862" t="str">
        <f t="shared" si="85"/>
        <v/>
      </c>
      <c r="F82" s="862" t="str">
        <f t="shared" si="86"/>
        <v/>
      </c>
      <c r="G82" s="863" t="str">
        <f t="shared" si="87"/>
        <v/>
      </c>
      <c r="H82" s="864" t="str">
        <f t="shared" ref="H82:I82" si="110">IF(H50=0,"",H50)</f>
        <v/>
      </c>
      <c r="I82" s="865" t="str">
        <f t="shared" si="110"/>
        <v/>
      </c>
      <c r="J82" s="863" t="str">
        <f t="shared" si="89"/>
        <v/>
      </c>
      <c r="K82" s="866" t="str">
        <f t="shared" ref="K82" si="111">IF(K50="","",K50)</f>
        <v/>
      </c>
      <c r="L82" s="1293"/>
      <c r="M82" s="847">
        <v>0</v>
      </c>
      <c r="N82" s="1521">
        <v>0</v>
      </c>
      <c r="O82" s="1522" t="str">
        <f t="shared" si="94"/>
        <v/>
      </c>
      <c r="P82" s="1305">
        <f t="shared" si="95"/>
        <v>0</v>
      </c>
      <c r="Q82" s="1304">
        <v>0</v>
      </c>
      <c r="R82" s="392" t="str">
        <f t="shared" si="96"/>
        <v/>
      </c>
      <c r="S82" s="392" t="str">
        <f t="shared" si="97"/>
        <v/>
      </c>
      <c r="T82" s="393">
        <f>ROUND(IF(K82="",0,+Q82/1659*(AB82*12*(1+tab!$D$111+tab!$D$112)-tab!$D$110)*tab!$D$108),-1)</f>
        <v>0</v>
      </c>
      <c r="U82" s="1321" t="str">
        <f t="shared" si="98"/>
        <v/>
      </c>
      <c r="V82" s="376"/>
      <c r="W82" s="25"/>
      <c r="AB82" s="1314" t="str">
        <f t="shared" si="91"/>
        <v/>
      </c>
      <c r="AC82" s="1374">
        <f>tab!$D$101</f>
        <v>0.53</v>
      </c>
      <c r="AD82" s="1313" t="e">
        <f t="shared" si="99"/>
        <v>#VALUE!</v>
      </c>
      <c r="AE82" s="1313" t="e">
        <f t="shared" si="100"/>
        <v>#VALUE!</v>
      </c>
      <c r="AF82" s="1313" t="e">
        <f t="shared" si="101"/>
        <v>#VALUE!</v>
      </c>
      <c r="AG82" s="14">
        <f t="shared" si="102"/>
        <v>0</v>
      </c>
      <c r="AH82" s="1315" t="str">
        <f t="shared" si="103"/>
        <v/>
      </c>
      <c r="AI82" s="14">
        <f t="shared" si="104"/>
        <v>0</v>
      </c>
      <c r="AJ82" s="1316">
        <f t="shared" si="105"/>
        <v>0.5</v>
      </c>
      <c r="AK82" s="6">
        <f t="shared" si="106"/>
        <v>0</v>
      </c>
      <c r="AL82" s="1317">
        <f t="shared" si="107"/>
        <v>0</v>
      </c>
      <c r="AT82" s="270" t="s">
        <v>106</v>
      </c>
    </row>
    <row r="83" spans="2:46" ht="12.75" customHeight="1" x14ac:dyDescent="0.2">
      <c r="B83" s="21"/>
      <c r="C83" s="35"/>
      <c r="D83" s="862" t="str">
        <f t="shared" si="84"/>
        <v/>
      </c>
      <c r="E83" s="862" t="str">
        <f t="shared" si="85"/>
        <v/>
      </c>
      <c r="F83" s="862" t="str">
        <f t="shared" si="86"/>
        <v/>
      </c>
      <c r="G83" s="863" t="str">
        <f t="shared" si="87"/>
        <v/>
      </c>
      <c r="H83" s="864" t="str">
        <f t="shared" ref="H83:I83" si="112">IF(H51=0,"",H51)</f>
        <v/>
      </c>
      <c r="I83" s="865" t="str">
        <f t="shared" si="112"/>
        <v/>
      </c>
      <c r="J83" s="863" t="str">
        <f t="shared" si="89"/>
        <v/>
      </c>
      <c r="K83" s="866" t="str">
        <f t="shared" ref="K83" si="113">IF(K51="","",K51)</f>
        <v/>
      </c>
      <c r="L83" s="1293"/>
      <c r="M83" s="847">
        <v>0</v>
      </c>
      <c r="N83" s="1521">
        <v>0</v>
      </c>
      <c r="O83" s="1522" t="str">
        <f t="shared" si="94"/>
        <v/>
      </c>
      <c r="P83" s="1305">
        <f t="shared" si="95"/>
        <v>0</v>
      </c>
      <c r="Q83" s="1304">
        <v>0</v>
      </c>
      <c r="R83" s="392" t="str">
        <f t="shared" si="96"/>
        <v/>
      </c>
      <c r="S83" s="392" t="str">
        <f t="shared" si="97"/>
        <v/>
      </c>
      <c r="T83" s="393">
        <f>ROUND(IF(K83="",0,+Q83/1659*(AB83*12*(1+tab!$D$111+tab!$D$112)-tab!$D$110)*tab!$D$108),-1)</f>
        <v>0</v>
      </c>
      <c r="U83" s="1321" t="str">
        <f t="shared" si="98"/>
        <v/>
      </c>
      <c r="V83" s="376"/>
      <c r="W83" s="25"/>
      <c r="AB83" s="1314" t="str">
        <f t="shared" si="91"/>
        <v/>
      </c>
      <c r="AC83" s="1374">
        <f>tab!$D$101</f>
        <v>0.53</v>
      </c>
      <c r="AD83" s="1313" t="e">
        <f t="shared" si="99"/>
        <v>#VALUE!</v>
      </c>
      <c r="AE83" s="1313" t="e">
        <f t="shared" si="100"/>
        <v>#VALUE!</v>
      </c>
      <c r="AF83" s="1313" t="e">
        <f t="shared" si="101"/>
        <v>#VALUE!</v>
      </c>
      <c r="AG83" s="14">
        <f t="shared" si="102"/>
        <v>0</v>
      </c>
      <c r="AH83" s="1315" t="str">
        <f t="shared" si="103"/>
        <v/>
      </c>
      <c r="AI83" s="14">
        <f t="shared" si="104"/>
        <v>0</v>
      </c>
      <c r="AJ83" s="1316">
        <f t="shared" si="105"/>
        <v>0.5</v>
      </c>
      <c r="AK83" s="6">
        <f t="shared" si="106"/>
        <v>0</v>
      </c>
      <c r="AL83" s="1317">
        <f t="shared" si="107"/>
        <v>0</v>
      </c>
      <c r="AT83" s="270" t="s">
        <v>107</v>
      </c>
    </row>
    <row r="84" spans="2:46" ht="12.75" customHeight="1" x14ac:dyDescent="0.2">
      <c r="B84" s="21"/>
      <c r="C84" s="35"/>
      <c r="D84" s="862" t="str">
        <f t="shared" si="84"/>
        <v/>
      </c>
      <c r="E84" s="862" t="str">
        <f t="shared" si="85"/>
        <v/>
      </c>
      <c r="F84" s="862" t="str">
        <f t="shared" si="86"/>
        <v/>
      </c>
      <c r="G84" s="863" t="str">
        <f t="shared" si="87"/>
        <v/>
      </c>
      <c r="H84" s="864" t="str">
        <f t="shared" ref="H84:I84" si="114">IF(H52=0,"",H52)</f>
        <v/>
      </c>
      <c r="I84" s="865" t="str">
        <f t="shared" si="114"/>
        <v/>
      </c>
      <c r="J84" s="863" t="str">
        <f t="shared" si="89"/>
        <v/>
      </c>
      <c r="K84" s="866" t="str">
        <f t="shared" ref="K84" si="115">IF(K52="","",K52)</f>
        <v/>
      </c>
      <c r="L84" s="1293"/>
      <c r="M84" s="847">
        <v>0</v>
      </c>
      <c r="N84" s="1521">
        <v>0</v>
      </c>
      <c r="O84" s="1522" t="str">
        <f t="shared" si="94"/>
        <v/>
      </c>
      <c r="P84" s="1305">
        <f t="shared" si="95"/>
        <v>0</v>
      </c>
      <c r="Q84" s="1304">
        <v>0</v>
      </c>
      <c r="R84" s="392" t="str">
        <f t="shared" si="96"/>
        <v/>
      </c>
      <c r="S84" s="392" t="str">
        <f t="shared" si="97"/>
        <v/>
      </c>
      <c r="T84" s="393">
        <f>ROUND(IF(K84="",0,+Q84/1659*(AB84*12*(1+tab!$D$111+tab!$D$112)-tab!$D$110)*tab!$D$108),-1)</f>
        <v>0</v>
      </c>
      <c r="U84" s="1321" t="str">
        <f t="shared" si="98"/>
        <v/>
      </c>
      <c r="V84" s="376"/>
      <c r="W84" s="25"/>
      <c r="AB84" s="1314" t="str">
        <f t="shared" si="91"/>
        <v/>
      </c>
      <c r="AC84" s="1374">
        <f>tab!$D$101</f>
        <v>0.53</v>
      </c>
      <c r="AD84" s="1313" t="e">
        <f t="shared" si="99"/>
        <v>#VALUE!</v>
      </c>
      <c r="AE84" s="1313" t="e">
        <f t="shared" si="100"/>
        <v>#VALUE!</v>
      </c>
      <c r="AF84" s="1313" t="e">
        <f t="shared" si="101"/>
        <v>#VALUE!</v>
      </c>
      <c r="AG84" s="14">
        <f t="shared" si="102"/>
        <v>0</v>
      </c>
      <c r="AH84" s="1315" t="str">
        <f t="shared" si="103"/>
        <v/>
      </c>
      <c r="AI84" s="14">
        <f t="shared" si="104"/>
        <v>0</v>
      </c>
      <c r="AJ84" s="1316">
        <f t="shared" si="105"/>
        <v>0.5</v>
      </c>
      <c r="AK84" s="6">
        <f t="shared" si="106"/>
        <v>0</v>
      </c>
      <c r="AL84" s="1317">
        <f t="shared" si="107"/>
        <v>0</v>
      </c>
      <c r="AT84" s="270" t="s">
        <v>108</v>
      </c>
    </row>
    <row r="85" spans="2:46" ht="12.75" customHeight="1" x14ac:dyDescent="0.2">
      <c r="B85" s="21"/>
      <c r="C85" s="35"/>
      <c r="D85" s="862" t="str">
        <f t="shared" si="84"/>
        <v/>
      </c>
      <c r="E85" s="862" t="str">
        <f t="shared" si="85"/>
        <v/>
      </c>
      <c r="F85" s="862" t="str">
        <f t="shared" si="86"/>
        <v/>
      </c>
      <c r="G85" s="863" t="str">
        <f t="shared" si="87"/>
        <v/>
      </c>
      <c r="H85" s="864" t="str">
        <f t="shared" ref="H85:I85" si="116">IF(H53=0,"",H53)</f>
        <v/>
      </c>
      <c r="I85" s="865" t="str">
        <f t="shared" si="116"/>
        <v/>
      </c>
      <c r="J85" s="863" t="str">
        <f t="shared" si="89"/>
        <v/>
      </c>
      <c r="K85" s="866" t="str">
        <f t="shared" ref="K85" si="117">IF(K53="","",K53)</f>
        <v/>
      </c>
      <c r="L85" s="1293"/>
      <c r="M85" s="847">
        <v>0</v>
      </c>
      <c r="N85" s="1521">
        <v>0</v>
      </c>
      <c r="O85" s="1522" t="str">
        <f t="shared" si="94"/>
        <v/>
      </c>
      <c r="P85" s="1305">
        <f t="shared" si="95"/>
        <v>0</v>
      </c>
      <c r="Q85" s="1304">
        <v>0</v>
      </c>
      <c r="R85" s="392" t="str">
        <f t="shared" si="96"/>
        <v/>
      </c>
      <c r="S85" s="392" t="str">
        <f t="shared" si="97"/>
        <v/>
      </c>
      <c r="T85" s="393">
        <f>ROUND(IF(K85="",0,+Q85/1659*(AB85*12*(1+tab!$D$111+tab!$D$112)-tab!$D$110)*tab!$D$108),-1)</f>
        <v>0</v>
      </c>
      <c r="U85" s="1321" t="str">
        <f t="shared" si="98"/>
        <v/>
      </c>
      <c r="V85" s="376"/>
      <c r="W85" s="25"/>
      <c r="AB85" s="1314" t="str">
        <f t="shared" si="91"/>
        <v/>
      </c>
      <c r="AC85" s="1374">
        <f>tab!$D$101</f>
        <v>0.53</v>
      </c>
      <c r="AD85" s="1313" t="e">
        <f t="shared" si="99"/>
        <v>#VALUE!</v>
      </c>
      <c r="AE85" s="1313" t="e">
        <f t="shared" si="100"/>
        <v>#VALUE!</v>
      </c>
      <c r="AF85" s="1313" t="e">
        <f t="shared" si="101"/>
        <v>#VALUE!</v>
      </c>
      <c r="AG85" s="14">
        <f t="shared" si="102"/>
        <v>0</v>
      </c>
      <c r="AH85" s="1315" t="str">
        <f t="shared" si="103"/>
        <v/>
      </c>
      <c r="AI85" s="14">
        <f t="shared" si="104"/>
        <v>0</v>
      </c>
      <c r="AJ85" s="1316">
        <f t="shared" si="105"/>
        <v>0.5</v>
      </c>
      <c r="AK85" s="6">
        <f t="shared" si="106"/>
        <v>0</v>
      </c>
      <c r="AL85" s="1317">
        <f t="shared" si="107"/>
        <v>0</v>
      </c>
      <c r="AT85" s="270" t="s">
        <v>109</v>
      </c>
    </row>
    <row r="86" spans="2:46" ht="12.75" customHeight="1" x14ac:dyDescent="0.2">
      <c r="B86" s="21"/>
      <c r="C86" s="35"/>
      <c r="D86" s="862" t="str">
        <f t="shared" si="84"/>
        <v/>
      </c>
      <c r="E86" s="862" t="str">
        <f t="shared" si="85"/>
        <v/>
      </c>
      <c r="F86" s="862" t="str">
        <f t="shared" si="86"/>
        <v/>
      </c>
      <c r="G86" s="863" t="str">
        <f t="shared" si="87"/>
        <v/>
      </c>
      <c r="H86" s="864" t="str">
        <f t="shared" ref="H86:I86" si="118">IF(H54=0,"",H54)</f>
        <v/>
      </c>
      <c r="I86" s="865" t="str">
        <f t="shared" si="118"/>
        <v/>
      </c>
      <c r="J86" s="863" t="str">
        <f t="shared" si="89"/>
        <v/>
      </c>
      <c r="K86" s="866" t="str">
        <f t="shared" ref="K86" si="119">IF(K54="","",K54)</f>
        <v/>
      </c>
      <c r="L86" s="1293"/>
      <c r="M86" s="847">
        <v>0</v>
      </c>
      <c r="N86" s="1521">
        <v>0</v>
      </c>
      <c r="O86" s="1522" t="str">
        <f t="shared" si="94"/>
        <v/>
      </c>
      <c r="P86" s="1305">
        <f t="shared" si="95"/>
        <v>0</v>
      </c>
      <c r="Q86" s="1304">
        <v>0</v>
      </c>
      <c r="R86" s="392" t="str">
        <f t="shared" si="96"/>
        <v/>
      </c>
      <c r="S86" s="392" t="str">
        <f t="shared" si="97"/>
        <v/>
      </c>
      <c r="T86" s="393">
        <f>ROUND(IF(K86="",0,+Q86/1659*(AB86*12*(1+tab!$D$111+tab!$D$112)-tab!$D$110)*tab!$D$108),-1)</f>
        <v>0</v>
      </c>
      <c r="U86" s="1321" t="str">
        <f t="shared" si="98"/>
        <v/>
      </c>
      <c r="V86" s="376"/>
      <c r="W86" s="25"/>
      <c r="AB86" s="1314" t="str">
        <f t="shared" si="91"/>
        <v/>
      </c>
      <c r="AC86" s="1374">
        <f>tab!$D$101</f>
        <v>0.53</v>
      </c>
      <c r="AD86" s="1313" t="e">
        <f t="shared" si="99"/>
        <v>#VALUE!</v>
      </c>
      <c r="AE86" s="1313" t="e">
        <f t="shared" si="100"/>
        <v>#VALUE!</v>
      </c>
      <c r="AF86" s="1313" t="e">
        <f t="shared" si="101"/>
        <v>#VALUE!</v>
      </c>
      <c r="AG86" s="14">
        <f t="shared" si="102"/>
        <v>0</v>
      </c>
      <c r="AH86" s="1315" t="str">
        <f t="shared" si="103"/>
        <v/>
      </c>
      <c r="AI86" s="14">
        <f t="shared" si="104"/>
        <v>0</v>
      </c>
      <c r="AJ86" s="1316">
        <f t="shared" si="105"/>
        <v>0.5</v>
      </c>
      <c r="AK86" s="6">
        <f t="shared" si="106"/>
        <v>0</v>
      </c>
      <c r="AL86" s="1317">
        <f t="shared" si="107"/>
        <v>0</v>
      </c>
      <c r="AT86" s="271">
        <v>11</v>
      </c>
    </row>
    <row r="87" spans="2:46" ht="12.75" customHeight="1" x14ac:dyDescent="0.2">
      <c r="B87" s="21"/>
      <c r="C87" s="35"/>
      <c r="D87" s="862" t="str">
        <f t="shared" si="84"/>
        <v/>
      </c>
      <c r="E87" s="862" t="str">
        <f t="shared" si="85"/>
        <v/>
      </c>
      <c r="F87" s="862" t="str">
        <f t="shared" si="86"/>
        <v/>
      </c>
      <c r="G87" s="863" t="str">
        <f t="shared" si="87"/>
        <v/>
      </c>
      <c r="H87" s="864" t="str">
        <f t="shared" ref="H87:I87" si="120">IF(H55=0,"",H55)</f>
        <v/>
      </c>
      <c r="I87" s="865" t="str">
        <f t="shared" si="120"/>
        <v/>
      </c>
      <c r="J87" s="863" t="str">
        <f t="shared" si="89"/>
        <v/>
      </c>
      <c r="K87" s="866" t="str">
        <f t="shared" ref="K87" si="121">IF(K55="","",K55)</f>
        <v/>
      </c>
      <c r="L87" s="1293"/>
      <c r="M87" s="847">
        <v>0</v>
      </c>
      <c r="N87" s="1521">
        <v>0</v>
      </c>
      <c r="O87" s="1522" t="str">
        <f t="shared" si="94"/>
        <v/>
      </c>
      <c r="P87" s="1305">
        <f t="shared" si="95"/>
        <v>0</v>
      </c>
      <c r="Q87" s="1304">
        <v>0</v>
      </c>
      <c r="R87" s="392" t="str">
        <f t="shared" si="96"/>
        <v/>
      </c>
      <c r="S87" s="392" t="str">
        <f t="shared" si="97"/>
        <v/>
      </c>
      <c r="T87" s="393">
        <f>ROUND(IF(K87="",0,+Q87/1659*(AB87*12*(1+tab!$D$111+tab!$D$112)-tab!$D$110)*tab!$D$108),-1)</f>
        <v>0</v>
      </c>
      <c r="U87" s="1321" t="str">
        <f t="shared" si="98"/>
        <v/>
      </c>
      <c r="V87" s="376"/>
      <c r="W87" s="25"/>
      <c r="AB87" s="1314" t="str">
        <f t="shared" si="91"/>
        <v/>
      </c>
      <c r="AC87" s="1374">
        <f>tab!$D$101</f>
        <v>0.53</v>
      </c>
      <c r="AD87" s="1313" t="e">
        <f t="shared" si="99"/>
        <v>#VALUE!</v>
      </c>
      <c r="AE87" s="1313" t="e">
        <f t="shared" si="100"/>
        <v>#VALUE!</v>
      </c>
      <c r="AF87" s="1313" t="e">
        <f t="shared" si="101"/>
        <v>#VALUE!</v>
      </c>
      <c r="AG87" s="14">
        <f t="shared" si="102"/>
        <v>0</v>
      </c>
      <c r="AH87" s="1315" t="str">
        <f t="shared" si="103"/>
        <v/>
      </c>
      <c r="AI87" s="14">
        <f t="shared" si="104"/>
        <v>0</v>
      </c>
      <c r="AJ87" s="1316">
        <f t="shared" si="105"/>
        <v>0.5</v>
      </c>
      <c r="AK87" s="6">
        <f t="shared" si="106"/>
        <v>0</v>
      </c>
      <c r="AL87" s="1317">
        <f t="shared" si="107"/>
        <v>0</v>
      </c>
      <c r="AT87" s="271">
        <v>12</v>
      </c>
    </row>
    <row r="88" spans="2:46" ht="12.75" customHeight="1" x14ac:dyDescent="0.2">
      <c r="B88" s="21"/>
      <c r="C88" s="35"/>
      <c r="D88" s="862" t="str">
        <f t="shared" si="84"/>
        <v/>
      </c>
      <c r="E88" s="862" t="str">
        <f t="shared" si="85"/>
        <v/>
      </c>
      <c r="F88" s="862" t="str">
        <f t="shared" si="86"/>
        <v/>
      </c>
      <c r="G88" s="863" t="str">
        <f t="shared" si="87"/>
        <v/>
      </c>
      <c r="H88" s="864" t="str">
        <f t="shared" ref="H88:I88" si="122">IF(H56=0,"",H56)</f>
        <v/>
      </c>
      <c r="I88" s="865" t="str">
        <f t="shared" si="122"/>
        <v/>
      </c>
      <c r="J88" s="863" t="str">
        <f t="shared" si="89"/>
        <v/>
      </c>
      <c r="K88" s="866" t="str">
        <f t="shared" ref="K88" si="123">IF(K56="","",K56)</f>
        <v/>
      </c>
      <c r="L88" s="1293"/>
      <c r="M88" s="847">
        <v>0</v>
      </c>
      <c r="N88" s="1521">
        <v>0</v>
      </c>
      <c r="O88" s="1522" t="str">
        <f t="shared" si="94"/>
        <v/>
      </c>
      <c r="P88" s="1305">
        <f t="shared" si="95"/>
        <v>0</v>
      </c>
      <c r="Q88" s="1304">
        <v>0</v>
      </c>
      <c r="R88" s="392" t="str">
        <f t="shared" si="96"/>
        <v/>
      </c>
      <c r="S88" s="392" t="str">
        <f t="shared" si="97"/>
        <v/>
      </c>
      <c r="T88" s="393">
        <f>ROUND(IF(K88="",0,+Q88/1659*(AB88*12*(1+tab!$D$111+tab!$D$112)-tab!$D$110)*tab!$D$108),-1)</f>
        <v>0</v>
      </c>
      <c r="U88" s="1321" t="str">
        <f t="shared" si="98"/>
        <v/>
      </c>
      <c r="V88" s="376"/>
      <c r="W88" s="25"/>
      <c r="AB88" s="1314" t="str">
        <f t="shared" si="91"/>
        <v/>
      </c>
      <c r="AC88" s="1374">
        <f>tab!$D$101</f>
        <v>0.53</v>
      </c>
      <c r="AD88" s="1313" t="e">
        <f t="shared" si="99"/>
        <v>#VALUE!</v>
      </c>
      <c r="AE88" s="1313" t="e">
        <f t="shared" si="100"/>
        <v>#VALUE!</v>
      </c>
      <c r="AF88" s="1313" t="e">
        <f t="shared" si="101"/>
        <v>#VALUE!</v>
      </c>
      <c r="AG88" s="14">
        <f t="shared" si="102"/>
        <v>0</v>
      </c>
      <c r="AH88" s="1315" t="str">
        <f t="shared" si="103"/>
        <v/>
      </c>
      <c r="AI88" s="14">
        <f t="shared" si="104"/>
        <v>0</v>
      </c>
      <c r="AJ88" s="1316">
        <f t="shared" si="105"/>
        <v>0.5</v>
      </c>
      <c r="AK88" s="6">
        <f t="shared" si="106"/>
        <v>0</v>
      </c>
      <c r="AL88" s="1317">
        <f t="shared" si="107"/>
        <v>0</v>
      </c>
      <c r="AT88" s="271">
        <v>13</v>
      </c>
    </row>
    <row r="89" spans="2:46" ht="12.75" customHeight="1" x14ac:dyDescent="0.2">
      <c r="B89" s="21"/>
      <c r="C89" s="35"/>
      <c r="D89" s="862" t="str">
        <f t="shared" si="84"/>
        <v/>
      </c>
      <c r="E89" s="862" t="str">
        <f t="shared" si="85"/>
        <v/>
      </c>
      <c r="F89" s="862" t="str">
        <f t="shared" si="86"/>
        <v/>
      </c>
      <c r="G89" s="863" t="str">
        <f t="shared" si="87"/>
        <v/>
      </c>
      <c r="H89" s="864" t="str">
        <f t="shared" ref="H89:I89" si="124">IF(H57=0,"",H57)</f>
        <v/>
      </c>
      <c r="I89" s="865" t="str">
        <f t="shared" si="124"/>
        <v/>
      </c>
      <c r="J89" s="863" t="str">
        <f t="shared" si="89"/>
        <v/>
      </c>
      <c r="K89" s="866" t="str">
        <f t="shared" ref="K89" si="125">IF(K57="","",K57)</f>
        <v/>
      </c>
      <c r="L89" s="1293"/>
      <c r="M89" s="847">
        <v>0</v>
      </c>
      <c r="N89" s="1521">
        <v>0</v>
      </c>
      <c r="O89" s="1522" t="str">
        <f t="shared" si="94"/>
        <v/>
      </c>
      <c r="P89" s="1305">
        <f t="shared" si="95"/>
        <v>0</v>
      </c>
      <c r="Q89" s="1304">
        <v>0</v>
      </c>
      <c r="R89" s="392" t="str">
        <f t="shared" si="96"/>
        <v/>
      </c>
      <c r="S89" s="392" t="str">
        <f t="shared" si="97"/>
        <v/>
      </c>
      <c r="T89" s="393">
        <f>ROUND(IF(K89="",0,+Q89/1659*(AB89*12*(1+tab!$D$111+tab!$D$112)-tab!$D$110)*tab!$D$108),-1)</f>
        <v>0</v>
      </c>
      <c r="U89" s="1321" t="str">
        <f t="shared" si="98"/>
        <v/>
      </c>
      <c r="V89" s="376"/>
      <c r="W89" s="25"/>
      <c r="AB89" s="1314" t="str">
        <f t="shared" si="91"/>
        <v/>
      </c>
      <c r="AC89" s="1374">
        <f>tab!$D$101</f>
        <v>0.53</v>
      </c>
      <c r="AD89" s="1313" t="e">
        <f t="shared" si="99"/>
        <v>#VALUE!</v>
      </c>
      <c r="AE89" s="1313" t="e">
        <f t="shared" si="100"/>
        <v>#VALUE!</v>
      </c>
      <c r="AF89" s="1313" t="e">
        <f t="shared" si="101"/>
        <v>#VALUE!</v>
      </c>
      <c r="AG89" s="14">
        <f t="shared" si="102"/>
        <v>0</v>
      </c>
      <c r="AH89" s="1315" t="str">
        <f t="shared" si="103"/>
        <v/>
      </c>
      <c r="AI89" s="14">
        <f t="shared" si="104"/>
        <v>0</v>
      </c>
      <c r="AJ89" s="1316">
        <f t="shared" si="105"/>
        <v>0.5</v>
      </c>
      <c r="AK89" s="6">
        <f t="shared" si="106"/>
        <v>0</v>
      </c>
      <c r="AL89" s="1317">
        <f t="shared" si="107"/>
        <v>0</v>
      </c>
      <c r="AT89" s="271">
        <v>14</v>
      </c>
    </row>
    <row r="90" spans="2:46" ht="12.75" customHeight="1" x14ac:dyDescent="0.2">
      <c r="B90" s="21"/>
      <c r="C90" s="35"/>
      <c r="D90" s="862" t="str">
        <f t="shared" si="84"/>
        <v/>
      </c>
      <c r="E90" s="862" t="str">
        <f t="shared" si="85"/>
        <v/>
      </c>
      <c r="F90" s="862" t="str">
        <f t="shared" si="86"/>
        <v/>
      </c>
      <c r="G90" s="863" t="str">
        <f t="shared" si="87"/>
        <v/>
      </c>
      <c r="H90" s="864" t="str">
        <f t="shared" ref="H90:I90" si="126">IF(H58=0,"",H58)</f>
        <v/>
      </c>
      <c r="I90" s="865" t="str">
        <f t="shared" si="126"/>
        <v/>
      </c>
      <c r="J90" s="863" t="str">
        <f t="shared" si="89"/>
        <v/>
      </c>
      <c r="K90" s="866" t="str">
        <f t="shared" ref="K90" si="127">IF(K58="","",K58)</f>
        <v/>
      </c>
      <c r="L90" s="1293"/>
      <c r="M90" s="847">
        <v>0</v>
      </c>
      <c r="N90" s="1521">
        <v>0</v>
      </c>
      <c r="O90" s="1522" t="str">
        <f t="shared" si="94"/>
        <v/>
      </c>
      <c r="P90" s="1305">
        <f t="shared" si="95"/>
        <v>0</v>
      </c>
      <c r="Q90" s="1304">
        <v>0</v>
      </c>
      <c r="R90" s="392" t="str">
        <f t="shared" si="96"/>
        <v/>
      </c>
      <c r="S90" s="392" t="str">
        <f t="shared" si="97"/>
        <v/>
      </c>
      <c r="T90" s="393">
        <f>ROUND(IF(K90="",0,+Q90/1659*(AB90*12*(1+tab!$D$111+tab!$D$112)-tab!$D$110)*tab!$D$108),-1)</f>
        <v>0</v>
      </c>
      <c r="U90" s="1321" t="str">
        <f t="shared" si="98"/>
        <v/>
      </c>
      <c r="V90" s="376"/>
      <c r="W90" s="25"/>
      <c r="AB90" s="1314" t="str">
        <f t="shared" si="91"/>
        <v/>
      </c>
      <c r="AC90" s="1374">
        <f>tab!$D$101</f>
        <v>0.53</v>
      </c>
      <c r="AD90" s="1313" t="e">
        <f t="shared" si="99"/>
        <v>#VALUE!</v>
      </c>
      <c r="AE90" s="1313" t="e">
        <f t="shared" si="100"/>
        <v>#VALUE!</v>
      </c>
      <c r="AF90" s="1313" t="e">
        <f t="shared" si="101"/>
        <v>#VALUE!</v>
      </c>
      <c r="AG90" s="14">
        <f t="shared" si="102"/>
        <v>0</v>
      </c>
      <c r="AH90" s="1315" t="str">
        <f t="shared" si="103"/>
        <v/>
      </c>
      <c r="AI90" s="14">
        <f t="shared" si="104"/>
        <v>0</v>
      </c>
      <c r="AJ90" s="1316">
        <f t="shared" si="105"/>
        <v>0.5</v>
      </c>
      <c r="AK90" s="6">
        <f t="shared" si="106"/>
        <v>0</v>
      </c>
      <c r="AL90" s="1317">
        <f t="shared" si="107"/>
        <v>0</v>
      </c>
      <c r="AT90" s="271" t="s">
        <v>114</v>
      </c>
    </row>
    <row r="91" spans="2:46" ht="12.75" customHeight="1" x14ac:dyDescent="0.2">
      <c r="B91" s="21"/>
      <c r="C91" s="35"/>
      <c r="D91" s="862" t="str">
        <f t="shared" si="84"/>
        <v/>
      </c>
      <c r="E91" s="862" t="str">
        <f t="shared" si="85"/>
        <v/>
      </c>
      <c r="F91" s="862" t="str">
        <f t="shared" si="86"/>
        <v/>
      </c>
      <c r="G91" s="863" t="str">
        <f t="shared" si="87"/>
        <v/>
      </c>
      <c r="H91" s="864" t="str">
        <f t="shared" ref="H91:I91" si="128">IF(H59=0,"",H59)</f>
        <v/>
      </c>
      <c r="I91" s="865" t="str">
        <f t="shared" si="128"/>
        <v/>
      </c>
      <c r="J91" s="863" t="str">
        <f t="shared" si="89"/>
        <v/>
      </c>
      <c r="K91" s="866" t="str">
        <f t="shared" ref="K91" si="129">IF(K59="","",K59)</f>
        <v/>
      </c>
      <c r="L91" s="1293"/>
      <c r="M91" s="847">
        <v>0</v>
      </c>
      <c r="N91" s="1521">
        <v>0</v>
      </c>
      <c r="O91" s="1522" t="str">
        <f t="shared" si="94"/>
        <v/>
      </c>
      <c r="P91" s="1305">
        <f t="shared" si="95"/>
        <v>0</v>
      </c>
      <c r="Q91" s="1304">
        <v>0</v>
      </c>
      <c r="R91" s="392" t="str">
        <f t="shared" si="96"/>
        <v/>
      </c>
      <c r="S91" s="392" t="str">
        <f t="shared" si="97"/>
        <v/>
      </c>
      <c r="T91" s="393">
        <f>ROUND(IF(K91="",0,+Q91/1659*(AB91*12*(1+tab!$D$111+tab!$D$112)-tab!$D$110)*tab!$D$108),-1)</f>
        <v>0</v>
      </c>
      <c r="U91" s="1321" t="str">
        <f t="shared" si="98"/>
        <v/>
      </c>
      <c r="V91" s="376"/>
      <c r="W91" s="25"/>
      <c r="AB91" s="1314" t="str">
        <f t="shared" si="91"/>
        <v/>
      </c>
      <c r="AC91" s="1374">
        <f>tab!$D$101</f>
        <v>0.53</v>
      </c>
      <c r="AD91" s="1313" t="e">
        <f t="shared" si="99"/>
        <v>#VALUE!</v>
      </c>
      <c r="AE91" s="1313" t="e">
        <f t="shared" si="100"/>
        <v>#VALUE!</v>
      </c>
      <c r="AF91" s="1313" t="e">
        <f t="shared" si="101"/>
        <v>#VALUE!</v>
      </c>
      <c r="AG91" s="14">
        <f t="shared" si="102"/>
        <v>0</v>
      </c>
      <c r="AH91" s="1315" t="str">
        <f t="shared" si="103"/>
        <v/>
      </c>
      <c r="AI91" s="14">
        <f t="shared" si="104"/>
        <v>0</v>
      </c>
      <c r="AJ91" s="1316">
        <f t="shared" si="105"/>
        <v>0.5</v>
      </c>
      <c r="AK91" s="6">
        <f t="shared" si="106"/>
        <v>0</v>
      </c>
      <c r="AL91" s="1317">
        <f t="shared" si="107"/>
        <v>0</v>
      </c>
      <c r="AT91" s="271"/>
    </row>
    <row r="92" spans="2:46" ht="12.75" customHeight="1" x14ac:dyDescent="0.2">
      <c r="B92" s="21"/>
      <c r="C92" s="35"/>
      <c r="D92" s="862" t="str">
        <f t="shared" si="84"/>
        <v/>
      </c>
      <c r="E92" s="862" t="str">
        <f t="shared" si="85"/>
        <v/>
      </c>
      <c r="F92" s="862" t="str">
        <f t="shared" si="86"/>
        <v/>
      </c>
      <c r="G92" s="863" t="str">
        <f t="shared" si="87"/>
        <v/>
      </c>
      <c r="H92" s="864" t="str">
        <f t="shared" ref="H92:I92" si="130">IF(H60=0,"",H60)</f>
        <v/>
      </c>
      <c r="I92" s="865" t="str">
        <f t="shared" si="130"/>
        <v/>
      </c>
      <c r="J92" s="863" t="str">
        <f t="shared" si="89"/>
        <v/>
      </c>
      <c r="K92" s="866" t="str">
        <f t="shared" ref="K92" si="131">IF(K60="","",K60)</f>
        <v/>
      </c>
      <c r="L92" s="1293"/>
      <c r="M92" s="847">
        <v>0</v>
      </c>
      <c r="N92" s="1521">
        <v>0</v>
      </c>
      <c r="O92" s="1522" t="str">
        <f t="shared" si="94"/>
        <v/>
      </c>
      <c r="P92" s="1305">
        <f t="shared" si="95"/>
        <v>0</v>
      </c>
      <c r="Q92" s="1304">
        <v>0</v>
      </c>
      <c r="R92" s="392" t="str">
        <f t="shared" si="96"/>
        <v/>
      </c>
      <c r="S92" s="392" t="str">
        <f t="shared" si="97"/>
        <v/>
      </c>
      <c r="T92" s="393">
        <f>ROUND(IF(K92="",0,+Q92/1659*(AB92*12*(1+tab!$D$111+tab!$D$112)-tab!$D$110)*tab!$D$108),-1)</f>
        <v>0</v>
      </c>
      <c r="U92" s="1321" t="str">
        <f t="shared" si="98"/>
        <v/>
      </c>
      <c r="V92" s="376"/>
      <c r="W92" s="25"/>
      <c r="AB92" s="1314" t="str">
        <f t="shared" si="91"/>
        <v/>
      </c>
      <c r="AC92" s="1374">
        <f>tab!$D$101</f>
        <v>0.53</v>
      </c>
      <c r="AD92" s="1313" t="e">
        <f t="shared" si="99"/>
        <v>#VALUE!</v>
      </c>
      <c r="AE92" s="1313" t="e">
        <f t="shared" si="100"/>
        <v>#VALUE!</v>
      </c>
      <c r="AF92" s="1313" t="e">
        <f t="shared" si="101"/>
        <v>#VALUE!</v>
      </c>
      <c r="AG92" s="14">
        <f t="shared" si="102"/>
        <v>0</v>
      </c>
      <c r="AH92" s="1315" t="str">
        <f t="shared" si="103"/>
        <v/>
      </c>
      <c r="AI92" s="14">
        <f t="shared" si="104"/>
        <v>0</v>
      </c>
      <c r="AJ92" s="1316">
        <f t="shared" si="105"/>
        <v>0.5</v>
      </c>
      <c r="AK92" s="6">
        <f t="shared" si="106"/>
        <v>0</v>
      </c>
      <c r="AL92" s="1317">
        <f t="shared" si="107"/>
        <v>0</v>
      </c>
      <c r="AT92" s="271"/>
    </row>
    <row r="93" spans="2:46" ht="12.75" customHeight="1" x14ac:dyDescent="0.2">
      <c r="B93" s="21"/>
      <c r="C93" s="35"/>
      <c r="D93" s="862" t="str">
        <f t="shared" si="84"/>
        <v/>
      </c>
      <c r="E93" s="862" t="str">
        <f t="shared" si="85"/>
        <v/>
      </c>
      <c r="F93" s="862" t="str">
        <f t="shared" si="86"/>
        <v/>
      </c>
      <c r="G93" s="863" t="str">
        <f t="shared" si="87"/>
        <v/>
      </c>
      <c r="H93" s="864" t="str">
        <f t="shared" ref="H93:I93" si="132">IF(H61=0,"",H61)</f>
        <v/>
      </c>
      <c r="I93" s="865" t="str">
        <f t="shared" si="132"/>
        <v/>
      </c>
      <c r="J93" s="863" t="str">
        <f t="shared" si="89"/>
        <v/>
      </c>
      <c r="K93" s="866" t="str">
        <f t="shared" ref="K93" si="133">IF(K61="","",K61)</f>
        <v/>
      </c>
      <c r="L93" s="1293"/>
      <c r="M93" s="847">
        <v>0</v>
      </c>
      <c r="N93" s="1521">
        <v>0</v>
      </c>
      <c r="O93" s="1522" t="str">
        <f t="shared" si="94"/>
        <v/>
      </c>
      <c r="P93" s="1305">
        <f t="shared" si="95"/>
        <v>0</v>
      </c>
      <c r="Q93" s="1304">
        <v>0</v>
      </c>
      <c r="R93" s="392" t="str">
        <f t="shared" si="96"/>
        <v/>
      </c>
      <c r="S93" s="392" t="str">
        <f t="shared" si="97"/>
        <v/>
      </c>
      <c r="T93" s="393">
        <f>ROUND(IF(K93="",0,+Q93/1659*(AB93*12*(1+tab!$D$111+tab!$D$112)-tab!$D$110)*tab!$D$108),-1)</f>
        <v>0</v>
      </c>
      <c r="U93" s="1321" t="str">
        <f t="shared" si="98"/>
        <v/>
      </c>
      <c r="V93" s="376"/>
      <c r="W93" s="25"/>
      <c r="AB93" s="1314" t="str">
        <f t="shared" si="91"/>
        <v/>
      </c>
      <c r="AC93" s="1374">
        <f>tab!$D$101</f>
        <v>0.53</v>
      </c>
      <c r="AD93" s="1313" t="e">
        <f t="shared" si="99"/>
        <v>#VALUE!</v>
      </c>
      <c r="AE93" s="1313" t="e">
        <f t="shared" si="100"/>
        <v>#VALUE!</v>
      </c>
      <c r="AF93" s="1313" t="e">
        <f t="shared" si="101"/>
        <v>#VALUE!</v>
      </c>
      <c r="AG93" s="14">
        <f t="shared" si="102"/>
        <v>0</v>
      </c>
      <c r="AH93" s="1315" t="str">
        <f t="shared" si="103"/>
        <v/>
      </c>
      <c r="AI93" s="14">
        <f t="shared" si="104"/>
        <v>0</v>
      </c>
      <c r="AJ93" s="1316">
        <f t="shared" si="105"/>
        <v>0.5</v>
      </c>
      <c r="AK93" s="6">
        <f t="shared" si="106"/>
        <v>0</v>
      </c>
      <c r="AL93" s="1317">
        <f t="shared" si="107"/>
        <v>0</v>
      </c>
      <c r="AT93" s="271"/>
    </row>
    <row r="94" spans="2:46" ht="12.75" customHeight="1" x14ac:dyDescent="0.2">
      <c r="B94" s="21"/>
      <c r="C94" s="35"/>
      <c r="D94" s="862" t="str">
        <f t="shared" si="84"/>
        <v/>
      </c>
      <c r="E94" s="862" t="str">
        <f t="shared" si="85"/>
        <v/>
      </c>
      <c r="F94" s="862" t="str">
        <f t="shared" si="86"/>
        <v/>
      </c>
      <c r="G94" s="863" t="str">
        <f t="shared" si="87"/>
        <v/>
      </c>
      <c r="H94" s="864" t="str">
        <f t="shared" ref="H94:I94" si="134">IF(H62=0,"",H62)</f>
        <v/>
      </c>
      <c r="I94" s="865" t="str">
        <f t="shared" si="134"/>
        <v/>
      </c>
      <c r="J94" s="863" t="str">
        <f t="shared" si="89"/>
        <v/>
      </c>
      <c r="K94" s="866" t="str">
        <f t="shared" ref="K94" si="135">IF(K62="","",K62)</f>
        <v/>
      </c>
      <c r="L94" s="1293"/>
      <c r="M94" s="847">
        <v>0</v>
      </c>
      <c r="N94" s="1521">
        <v>0</v>
      </c>
      <c r="O94" s="1522" t="str">
        <f t="shared" si="94"/>
        <v/>
      </c>
      <c r="P94" s="1305">
        <f t="shared" si="95"/>
        <v>0</v>
      </c>
      <c r="Q94" s="1304">
        <v>0</v>
      </c>
      <c r="R94" s="392" t="str">
        <f t="shared" si="96"/>
        <v/>
      </c>
      <c r="S94" s="392" t="str">
        <f t="shared" si="97"/>
        <v/>
      </c>
      <c r="T94" s="393">
        <f>ROUND(IF(K94="",0,+Q94/1659*(AB94*12*(1+tab!$D$111+tab!$D$112)-tab!$D$110)*tab!$D$108),-1)</f>
        <v>0</v>
      </c>
      <c r="U94" s="1321" t="str">
        <f t="shared" si="98"/>
        <v/>
      </c>
      <c r="V94" s="376"/>
      <c r="W94" s="25"/>
      <c r="AB94" s="1314" t="str">
        <f t="shared" si="91"/>
        <v/>
      </c>
      <c r="AC94" s="1374">
        <f>tab!$D$101</f>
        <v>0.53</v>
      </c>
      <c r="AD94" s="1313" t="e">
        <f t="shared" si="99"/>
        <v>#VALUE!</v>
      </c>
      <c r="AE94" s="1313" t="e">
        <f t="shared" si="100"/>
        <v>#VALUE!</v>
      </c>
      <c r="AF94" s="1313" t="e">
        <f t="shared" si="101"/>
        <v>#VALUE!</v>
      </c>
      <c r="AG94" s="14">
        <f t="shared" si="102"/>
        <v>0</v>
      </c>
      <c r="AH94" s="1315" t="str">
        <f t="shared" si="103"/>
        <v/>
      </c>
      <c r="AI94" s="14">
        <f t="shared" si="104"/>
        <v>0</v>
      </c>
      <c r="AJ94" s="1316">
        <f t="shared" si="105"/>
        <v>0.5</v>
      </c>
      <c r="AK94" s="6">
        <f t="shared" si="106"/>
        <v>0</v>
      </c>
      <c r="AL94" s="1317">
        <f t="shared" si="107"/>
        <v>0</v>
      </c>
      <c r="AT94" s="271"/>
    </row>
    <row r="95" spans="2:46" ht="12.75" customHeight="1" x14ac:dyDescent="0.2">
      <c r="B95" s="21"/>
      <c r="C95" s="35"/>
      <c r="D95" s="862" t="str">
        <f t="shared" si="84"/>
        <v/>
      </c>
      <c r="E95" s="862" t="str">
        <f t="shared" si="85"/>
        <v/>
      </c>
      <c r="F95" s="862" t="str">
        <f t="shared" si="86"/>
        <v/>
      </c>
      <c r="G95" s="863" t="str">
        <f t="shared" si="87"/>
        <v/>
      </c>
      <c r="H95" s="864" t="str">
        <f t="shared" ref="H95:I95" si="136">IF(H63=0,"",H63)</f>
        <v/>
      </c>
      <c r="I95" s="865" t="str">
        <f t="shared" si="136"/>
        <v/>
      </c>
      <c r="J95" s="863" t="str">
        <f t="shared" si="89"/>
        <v/>
      </c>
      <c r="K95" s="866" t="str">
        <f t="shared" ref="K95" si="137">IF(K63="","",K63)</f>
        <v/>
      </c>
      <c r="L95" s="1293"/>
      <c r="M95" s="847">
        <v>0</v>
      </c>
      <c r="N95" s="1521">
        <v>0</v>
      </c>
      <c r="O95" s="1522" t="str">
        <f t="shared" si="94"/>
        <v/>
      </c>
      <c r="P95" s="1305">
        <f t="shared" si="95"/>
        <v>0</v>
      </c>
      <c r="Q95" s="1304">
        <v>0</v>
      </c>
      <c r="R95" s="392" t="str">
        <f t="shared" si="96"/>
        <v/>
      </c>
      <c r="S95" s="392" t="str">
        <f t="shared" si="97"/>
        <v/>
      </c>
      <c r="T95" s="393">
        <f>ROUND(IF(K95="",0,+Q95/1659*(AB95*12*(1+tab!$D$111+tab!$D$112)-tab!$D$110)*tab!$D$108),-1)</f>
        <v>0</v>
      </c>
      <c r="U95" s="1321" t="str">
        <f t="shared" si="98"/>
        <v/>
      </c>
      <c r="V95" s="376"/>
      <c r="W95" s="25"/>
      <c r="AB95" s="1314" t="str">
        <f t="shared" si="91"/>
        <v/>
      </c>
      <c r="AC95" s="1374">
        <f>tab!$D$101</f>
        <v>0.53</v>
      </c>
      <c r="AD95" s="1313" t="e">
        <f t="shared" si="99"/>
        <v>#VALUE!</v>
      </c>
      <c r="AE95" s="1313" t="e">
        <f t="shared" si="100"/>
        <v>#VALUE!</v>
      </c>
      <c r="AF95" s="1313" t="e">
        <f t="shared" si="101"/>
        <v>#VALUE!</v>
      </c>
      <c r="AG95" s="14">
        <f t="shared" si="102"/>
        <v>0</v>
      </c>
      <c r="AH95" s="1315" t="str">
        <f t="shared" si="103"/>
        <v/>
      </c>
      <c r="AI95" s="14">
        <f t="shared" si="104"/>
        <v>0</v>
      </c>
      <c r="AJ95" s="1316">
        <f t="shared" si="105"/>
        <v>0.5</v>
      </c>
      <c r="AK95" s="6">
        <f t="shared" si="106"/>
        <v>0</v>
      </c>
      <c r="AL95" s="1317">
        <f t="shared" si="107"/>
        <v>0</v>
      </c>
      <c r="AT95" s="271"/>
    </row>
    <row r="96" spans="2:46" ht="12.75" customHeight="1" x14ac:dyDescent="0.2">
      <c r="B96" s="21"/>
      <c r="C96" s="35"/>
      <c r="D96" s="862" t="str">
        <f t="shared" si="84"/>
        <v/>
      </c>
      <c r="E96" s="862" t="str">
        <f t="shared" si="85"/>
        <v/>
      </c>
      <c r="F96" s="862" t="str">
        <f t="shared" si="86"/>
        <v/>
      </c>
      <c r="G96" s="863" t="str">
        <f t="shared" si="87"/>
        <v/>
      </c>
      <c r="H96" s="864" t="str">
        <f t="shared" ref="H96:I96" si="138">IF(H64=0,"",H64)</f>
        <v/>
      </c>
      <c r="I96" s="865" t="str">
        <f t="shared" si="138"/>
        <v/>
      </c>
      <c r="J96" s="863" t="str">
        <f t="shared" si="89"/>
        <v/>
      </c>
      <c r="K96" s="866" t="str">
        <f t="shared" ref="K96" si="139">IF(K64="","",K64)</f>
        <v/>
      </c>
      <c r="L96" s="1293"/>
      <c r="M96" s="847">
        <v>0</v>
      </c>
      <c r="N96" s="1521">
        <v>0</v>
      </c>
      <c r="O96" s="1522" t="str">
        <f t="shared" si="94"/>
        <v/>
      </c>
      <c r="P96" s="1305">
        <f t="shared" si="95"/>
        <v>0</v>
      </c>
      <c r="Q96" s="1304">
        <v>0</v>
      </c>
      <c r="R96" s="392" t="str">
        <f t="shared" si="96"/>
        <v/>
      </c>
      <c r="S96" s="392" t="str">
        <f t="shared" si="97"/>
        <v/>
      </c>
      <c r="T96" s="393">
        <f>ROUND(IF(K96="",0,+Q96/1659*(AB96*12*(1+tab!$D$111+tab!$D$112)-tab!$D$110)*tab!$D$108),-1)</f>
        <v>0</v>
      </c>
      <c r="U96" s="1321" t="str">
        <f t="shared" si="98"/>
        <v/>
      </c>
      <c r="V96" s="376"/>
      <c r="W96" s="25"/>
      <c r="AB96" s="1314" t="str">
        <f t="shared" si="91"/>
        <v/>
      </c>
      <c r="AC96" s="1374">
        <f>tab!$D$101</f>
        <v>0.53</v>
      </c>
      <c r="AD96" s="1313" t="e">
        <f t="shared" si="99"/>
        <v>#VALUE!</v>
      </c>
      <c r="AE96" s="1313" t="e">
        <f t="shared" si="100"/>
        <v>#VALUE!</v>
      </c>
      <c r="AF96" s="1313" t="e">
        <f t="shared" si="101"/>
        <v>#VALUE!</v>
      </c>
      <c r="AG96" s="14">
        <f t="shared" si="102"/>
        <v>0</v>
      </c>
      <c r="AH96" s="1315" t="str">
        <f t="shared" si="103"/>
        <v/>
      </c>
      <c r="AI96" s="14">
        <f t="shared" si="104"/>
        <v>0</v>
      </c>
      <c r="AJ96" s="1316">
        <f t="shared" si="105"/>
        <v>0.5</v>
      </c>
      <c r="AK96" s="6">
        <f t="shared" si="106"/>
        <v>0</v>
      </c>
      <c r="AL96" s="1317">
        <f t="shared" si="107"/>
        <v>0</v>
      </c>
      <c r="AT96" s="271"/>
    </row>
    <row r="97" spans="2:46" ht="12.75" customHeight="1" x14ac:dyDescent="0.2">
      <c r="B97" s="21"/>
      <c r="C97" s="35"/>
      <c r="D97" s="862" t="str">
        <f t="shared" si="84"/>
        <v/>
      </c>
      <c r="E97" s="862" t="str">
        <f t="shared" si="85"/>
        <v/>
      </c>
      <c r="F97" s="862" t="str">
        <f t="shared" si="86"/>
        <v/>
      </c>
      <c r="G97" s="863" t="str">
        <f t="shared" si="87"/>
        <v/>
      </c>
      <c r="H97" s="864" t="str">
        <f t="shared" ref="H97:I97" si="140">IF(H65=0,"",H65)</f>
        <v/>
      </c>
      <c r="I97" s="865" t="str">
        <f t="shared" si="140"/>
        <v/>
      </c>
      <c r="J97" s="863" t="str">
        <f t="shared" si="89"/>
        <v/>
      </c>
      <c r="K97" s="866" t="str">
        <f t="shared" ref="K97" si="141">IF(K65="","",K65)</f>
        <v/>
      </c>
      <c r="L97" s="1293"/>
      <c r="M97" s="847">
        <v>0</v>
      </c>
      <c r="N97" s="1521">
        <v>0</v>
      </c>
      <c r="O97" s="1522" t="str">
        <f t="shared" si="94"/>
        <v/>
      </c>
      <c r="P97" s="1305">
        <f t="shared" si="95"/>
        <v>0</v>
      </c>
      <c r="Q97" s="1304">
        <v>0</v>
      </c>
      <c r="R97" s="392" t="str">
        <f t="shared" si="96"/>
        <v/>
      </c>
      <c r="S97" s="392" t="str">
        <f t="shared" si="97"/>
        <v/>
      </c>
      <c r="T97" s="393">
        <f>ROUND(IF(K97="",0,+Q97/1659*(AB97*12*(1+tab!$D$111+tab!$D$112)-tab!$D$110)*tab!$D$108),-1)</f>
        <v>0</v>
      </c>
      <c r="U97" s="1321" t="str">
        <f t="shared" si="98"/>
        <v/>
      </c>
      <c r="V97" s="376"/>
      <c r="W97" s="25"/>
      <c r="AB97" s="1314" t="str">
        <f t="shared" si="91"/>
        <v/>
      </c>
      <c r="AC97" s="1374">
        <f>tab!$D$101</f>
        <v>0.53</v>
      </c>
      <c r="AD97" s="1313" t="e">
        <f t="shared" si="99"/>
        <v>#VALUE!</v>
      </c>
      <c r="AE97" s="1313" t="e">
        <f t="shared" si="100"/>
        <v>#VALUE!</v>
      </c>
      <c r="AF97" s="1313" t="e">
        <f t="shared" si="101"/>
        <v>#VALUE!</v>
      </c>
      <c r="AG97" s="14">
        <f t="shared" si="102"/>
        <v>0</v>
      </c>
      <c r="AH97" s="1315" t="str">
        <f t="shared" si="103"/>
        <v/>
      </c>
      <c r="AI97" s="14">
        <f t="shared" si="104"/>
        <v>0</v>
      </c>
      <c r="AJ97" s="1316">
        <f t="shared" si="105"/>
        <v>0.5</v>
      </c>
      <c r="AK97" s="6">
        <f t="shared" si="106"/>
        <v>0</v>
      </c>
      <c r="AL97" s="1317">
        <f t="shared" si="107"/>
        <v>0</v>
      </c>
      <c r="AT97" s="271"/>
    </row>
    <row r="98" spans="2:46" ht="12.75" customHeight="1" x14ac:dyDescent="0.2">
      <c r="B98" s="21"/>
      <c r="C98" s="35"/>
      <c r="D98" s="862" t="str">
        <f t="shared" si="84"/>
        <v/>
      </c>
      <c r="E98" s="862" t="str">
        <f t="shared" si="85"/>
        <v/>
      </c>
      <c r="F98" s="862" t="str">
        <f t="shared" si="86"/>
        <v/>
      </c>
      <c r="G98" s="863" t="str">
        <f t="shared" si="87"/>
        <v/>
      </c>
      <c r="H98" s="864" t="str">
        <f t="shared" ref="H98:I98" si="142">IF(H66=0,"",H66)</f>
        <v/>
      </c>
      <c r="I98" s="865" t="str">
        <f t="shared" si="142"/>
        <v/>
      </c>
      <c r="J98" s="863" t="str">
        <f t="shared" si="89"/>
        <v/>
      </c>
      <c r="K98" s="866" t="str">
        <f t="shared" ref="K98" si="143">IF(K66="","",K66)</f>
        <v/>
      </c>
      <c r="L98" s="1293"/>
      <c r="M98" s="847">
        <v>0</v>
      </c>
      <c r="N98" s="1521">
        <v>0</v>
      </c>
      <c r="O98" s="1522" t="str">
        <f t="shared" si="94"/>
        <v/>
      </c>
      <c r="P98" s="1305">
        <f t="shared" si="95"/>
        <v>0</v>
      </c>
      <c r="Q98" s="1304">
        <v>0</v>
      </c>
      <c r="R98" s="392" t="str">
        <f t="shared" si="96"/>
        <v/>
      </c>
      <c r="S98" s="392" t="str">
        <f t="shared" si="97"/>
        <v/>
      </c>
      <c r="T98" s="393">
        <f>ROUND(IF(K98="",0,+Q98/1659*(AB98*12*(1+tab!$D$111+tab!$D$112)-tab!$D$110)*tab!$D$108),-1)</f>
        <v>0</v>
      </c>
      <c r="U98" s="1321" t="str">
        <f t="shared" si="98"/>
        <v/>
      </c>
      <c r="V98" s="376"/>
      <c r="W98" s="25"/>
      <c r="AB98" s="1314" t="str">
        <f t="shared" si="91"/>
        <v/>
      </c>
      <c r="AC98" s="1374">
        <f>tab!$D$101</f>
        <v>0.53</v>
      </c>
      <c r="AD98" s="1313" t="e">
        <f t="shared" si="99"/>
        <v>#VALUE!</v>
      </c>
      <c r="AE98" s="1313" t="e">
        <f t="shared" si="100"/>
        <v>#VALUE!</v>
      </c>
      <c r="AF98" s="1313" t="e">
        <f t="shared" si="101"/>
        <v>#VALUE!</v>
      </c>
      <c r="AG98" s="14">
        <f t="shared" si="102"/>
        <v>0</v>
      </c>
      <c r="AH98" s="1315" t="str">
        <f t="shared" si="103"/>
        <v/>
      </c>
      <c r="AI98" s="14">
        <f t="shared" si="104"/>
        <v>0</v>
      </c>
      <c r="AJ98" s="1316">
        <f t="shared" si="105"/>
        <v>0.5</v>
      </c>
      <c r="AK98" s="6">
        <f t="shared" si="106"/>
        <v>0</v>
      </c>
      <c r="AL98" s="1317">
        <f t="shared" si="107"/>
        <v>0</v>
      </c>
      <c r="AT98" s="271"/>
    </row>
    <row r="99" spans="2:46" ht="12.75" customHeight="1" x14ac:dyDescent="0.2">
      <c r="B99" s="21"/>
      <c r="C99" s="35"/>
      <c r="D99" s="377"/>
      <c r="E99" s="377"/>
      <c r="F99" s="377"/>
      <c r="G99" s="192"/>
      <c r="H99" s="378"/>
      <c r="I99" s="192"/>
      <c r="J99" s="379"/>
      <c r="K99" s="394">
        <f>SUM(K79:K98)</f>
        <v>0</v>
      </c>
      <c r="L99" s="1284"/>
      <c r="M99" s="1303">
        <f>SUM(M79:M98)</f>
        <v>0</v>
      </c>
      <c r="N99" s="1303">
        <f t="shared" ref="N99" si="144">SUM(N79:N98)</f>
        <v>0</v>
      </c>
      <c r="O99" s="1303">
        <f t="shared" ref="O99" si="145">SUM(O79:O98)</f>
        <v>0</v>
      </c>
      <c r="P99" s="1303">
        <f t="shared" ref="P99" si="146">SUM(P79:P98)</f>
        <v>0</v>
      </c>
      <c r="Q99" s="1303">
        <f t="shared" ref="Q99" si="147">SUM(Q79:Q98)</f>
        <v>0</v>
      </c>
      <c r="R99" s="1319">
        <f t="shared" ref="R99" si="148">SUM(R79:R98)</f>
        <v>0</v>
      </c>
      <c r="S99" s="1319">
        <f t="shared" ref="S99" si="149">SUM(S79:S98)</f>
        <v>0</v>
      </c>
      <c r="T99" s="1319">
        <f t="shared" ref="T99" si="150">SUM(T79:T98)</f>
        <v>0</v>
      </c>
      <c r="U99" s="1320">
        <f t="shared" ref="U99" si="151">SUM(U79:U98)</f>
        <v>0</v>
      </c>
      <c r="V99" s="361"/>
      <c r="W99" s="25"/>
      <c r="AB99" s="1314">
        <f>SUM(AB79:AB98)</f>
        <v>0</v>
      </c>
      <c r="AL99" s="1317">
        <f>SUM(AL79:AL98)</f>
        <v>0</v>
      </c>
      <c r="AT99" s="271"/>
    </row>
    <row r="100" spans="2:46" ht="12.75" customHeight="1" x14ac:dyDescent="0.2">
      <c r="B100" s="21"/>
      <c r="C100" s="35"/>
      <c r="D100" s="187"/>
      <c r="E100" s="187"/>
      <c r="F100" s="187"/>
      <c r="G100" s="186"/>
      <c r="H100" s="193"/>
      <c r="I100" s="186"/>
      <c r="J100" s="361"/>
      <c r="K100" s="362"/>
      <c r="L100" s="1290"/>
      <c r="M100" s="362"/>
      <c r="N100" s="361"/>
      <c r="O100" s="361"/>
      <c r="P100" s="380"/>
      <c r="Q100" s="380"/>
      <c r="R100" s="380"/>
      <c r="S100" s="380"/>
      <c r="T100" s="365"/>
      <c r="U100" s="381"/>
      <c r="V100" s="361"/>
      <c r="W100" s="25"/>
    </row>
    <row r="101" spans="2:46" ht="12.75" customHeight="1" x14ac:dyDescent="0.2">
      <c r="B101" s="21"/>
      <c r="C101" s="22"/>
      <c r="D101" s="297"/>
      <c r="E101" s="297"/>
      <c r="F101" s="297"/>
      <c r="G101" s="24"/>
      <c r="H101" s="298"/>
      <c r="I101" s="24"/>
      <c r="J101" s="299"/>
      <c r="K101" s="347"/>
      <c r="L101" s="1285"/>
      <c r="M101" s="300"/>
      <c r="N101" s="22"/>
      <c r="O101" s="348"/>
      <c r="P101" s="349"/>
      <c r="Q101" s="349"/>
      <c r="R101" s="349"/>
      <c r="S101" s="349"/>
      <c r="T101" s="350"/>
      <c r="U101" s="351"/>
      <c r="V101" s="22"/>
      <c r="W101" s="25"/>
    </row>
    <row r="102" spans="2:46" ht="12.75" customHeight="1" x14ac:dyDescent="0.2">
      <c r="B102" s="21"/>
      <c r="C102" s="22"/>
      <c r="D102" s="297"/>
      <c r="E102" s="297"/>
      <c r="F102" s="297"/>
      <c r="G102" s="24"/>
      <c r="H102" s="298"/>
      <c r="I102" s="24"/>
      <c r="J102" s="299"/>
      <c r="K102" s="347"/>
      <c r="L102" s="1285"/>
      <c r="M102" s="300"/>
      <c r="N102" s="22"/>
      <c r="O102" s="348"/>
      <c r="P102" s="349"/>
      <c r="Q102" s="349"/>
      <c r="R102" s="349"/>
      <c r="S102" s="349"/>
      <c r="T102" s="350"/>
      <c r="U102" s="351"/>
      <c r="V102" s="22"/>
      <c r="W102" s="25"/>
    </row>
    <row r="103" spans="2:46" ht="12.75" customHeight="1" x14ac:dyDescent="0.2">
      <c r="B103" s="21"/>
      <c r="C103" s="22" t="s">
        <v>145</v>
      </c>
      <c r="D103" s="297"/>
      <c r="E103" s="343" t="str">
        <f>tab!G2</f>
        <v>2017/18</v>
      </c>
      <c r="F103" s="297"/>
      <c r="G103" s="24"/>
      <c r="H103" s="298"/>
      <c r="I103" s="24"/>
      <c r="J103" s="299"/>
      <c r="K103" s="347"/>
      <c r="L103" s="1285"/>
      <c r="M103" s="300"/>
      <c r="N103" s="22"/>
      <c r="O103" s="348"/>
      <c r="P103" s="349"/>
      <c r="Q103" s="349"/>
      <c r="R103" s="349"/>
      <c r="S103" s="349"/>
      <c r="T103" s="350"/>
      <c r="U103" s="351"/>
      <c r="V103" s="22"/>
      <c r="W103" s="25"/>
    </row>
    <row r="104" spans="2:46" ht="12.75" customHeight="1" x14ac:dyDescent="0.2">
      <c r="B104" s="21"/>
      <c r="C104" s="22" t="s">
        <v>146</v>
      </c>
      <c r="D104" s="297"/>
      <c r="E104" s="343">
        <f>tab!H3</f>
        <v>43009</v>
      </c>
      <c r="F104" s="297"/>
      <c r="G104" s="24"/>
      <c r="H104" s="298"/>
      <c r="I104" s="24"/>
      <c r="J104" s="299"/>
      <c r="K104" s="347"/>
      <c r="L104" s="1285"/>
      <c r="M104" s="300"/>
      <c r="N104" s="22"/>
      <c r="O104" s="348"/>
      <c r="P104" s="349"/>
      <c r="Q104" s="349"/>
      <c r="R104" s="349"/>
      <c r="S104" s="349"/>
      <c r="T104" s="350"/>
      <c r="U104" s="351"/>
      <c r="V104" s="22"/>
      <c r="W104" s="25"/>
    </row>
    <row r="105" spans="2:46" ht="12.75" customHeight="1" x14ac:dyDescent="0.2">
      <c r="B105" s="21"/>
      <c r="C105" s="480" t="s">
        <v>548</v>
      </c>
      <c r="D105" s="297"/>
      <c r="E105" s="297"/>
      <c r="F105" s="297"/>
      <c r="G105" s="24"/>
      <c r="H105" s="298"/>
      <c r="I105" s="24"/>
      <c r="J105" s="299"/>
      <c r="K105" s="347"/>
      <c r="L105" s="1285"/>
      <c r="M105" s="300"/>
      <c r="N105" s="22"/>
      <c r="O105" s="348"/>
      <c r="P105" s="349"/>
      <c r="Q105" s="349"/>
      <c r="R105" s="349"/>
      <c r="S105" s="349"/>
      <c r="T105" s="350"/>
      <c r="U105" s="351"/>
      <c r="V105" s="22"/>
      <c r="W105" s="25"/>
    </row>
    <row r="106" spans="2:46" ht="12.75" customHeight="1" x14ac:dyDescent="0.2">
      <c r="B106" s="21"/>
      <c r="C106" s="35"/>
      <c r="D106" s="187"/>
      <c r="E106" s="93"/>
      <c r="F106" s="187"/>
      <c r="G106" s="186"/>
      <c r="H106" s="193"/>
      <c r="I106" s="361"/>
      <c r="J106" s="361"/>
      <c r="K106" s="362"/>
      <c r="L106" s="1290"/>
      <c r="M106" s="363"/>
      <c r="N106" s="35"/>
      <c r="O106" s="364"/>
      <c r="P106" s="35"/>
      <c r="Q106" s="35"/>
      <c r="R106" s="35"/>
      <c r="S106" s="35"/>
      <c r="T106" s="365"/>
      <c r="U106" s="366"/>
      <c r="V106" s="35"/>
      <c r="W106" s="25"/>
      <c r="X106" s="952"/>
      <c r="AC106" s="1306"/>
      <c r="AD106" s="1307"/>
      <c r="AE106" s="1306"/>
      <c r="AF106" s="1306"/>
      <c r="AG106" s="1306"/>
      <c r="AH106" s="1308"/>
      <c r="AI106" s="1309"/>
      <c r="AJ106" s="1310"/>
      <c r="AK106" s="1311"/>
      <c r="AL106" s="1312"/>
      <c r="AM106" s="259"/>
    </row>
    <row r="107" spans="2:46" s="1282" customFormat="1" ht="12.75" customHeight="1" x14ac:dyDescent="0.2">
      <c r="B107" s="1280"/>
      <c r="C107" s="1281"/>
      <c r="D107" s="1277" t="s">
        <v>147</v>
      </c>
      <c r="E107" s="1278"/>
      <c r="F107" s="1278"/>
      <c r="G107" s="1278"/>
      <c r="H107" s="1278"/>
      <c r="I107" s="1278"/>
      <c r="J107" s="1278"/>
      <c r="K107" s="1278"/>
      <c r="L107" s="1286"/>
      <c r="M107" s="1327" t="s">
        <v>817</v>
      </c>
      <c r="N107" s="1328"/>
      <c r="O107" s="1329"/>
      <c r="P107" s="1329"/>
      <c r="Q107" s="1328"/>
      <c r="R107" s="1330" t="s">
        <v>818</v>
      </c>
      <c r="S107" s="1331"/>
      <c r="T107" s="1331"/>
      <c r="U107" s="1331"/>
      <c r="V107" s="1332"/>
      <c r="W107" s="1333"/>
      <c r="X107" s="1334"/>
      <c r="Y107" s="1335"/>
      <c r="Z107" s="1336"/>
      <c r="AA107" s="1336"/>
      <c r="AB107" s="1337"/>
      <c r="AC107" s="1338"/>
      <c r="AD107" s="1339"/>
      <c r="AE107" s="1338"/>
      <c r="AF107" s="1340"/>
      <c r="AG107" s="1340"/>
      <c r="AH107" s="1341"/>
      <c r="AI107" s="1342"/>
      <c r="AJ107" s="1341"/>
      <c r="AK107" s="1343"/>
      <c r="AL107" s="1343"/>
      <c r="AN107" s="263"/>
      <c r="AO107" s="263"/>
    </row>
    <row r="108" spans="2:46" s="212" customFormat="1" ht="12.75" customHeight="1" x14ac:dyDescent="0.2">
      <c r="B108" s="215"/>
      <c r="C108" s="367"/>
      <c r="D108" s="383" t="s">
        <v>148</v>
      </c>
      <c r="E108" s="383" t="s">
        <v>149</v>
      </c>
      <c r="F108" s="383" t="s">
        <v>150</v>
      </c>
      <c r="G108" s="384" t="s">
        <v>151</v>
      </c>
      <c r="H108" s="385" t="s">
        <v>152</v>
      </c>
      <c r="I108" s="384" t="s">
        <v>115</v>
      </c>
      <c r="J108" s="384" t="s">
        <v>153</v>
      </c>
      <c r="K108" s="386" t="s">
        <v>154</v>
      </c>
      <c r="L108" s="1291"/>
      <c r="M108" s="1354" t="s">
        <v>819</v>
      </c>
      <c r="N108" s="1355" t="s">
        <v>820</v>
      </c>
      <c r="O108" s="1356" t="s">
        <v>821</v>
      </c>
      <c r="P108" s="1357" t="s">
        <v>822</v>
      </c>
      <c r="Q108" s="1355" t="s">
        <v>823</v>
      </c>
      <c r="R108" s="1356" t="s">
        <v>155</v>
      </c>
      <c r="S108" s="1354" t="s">
        <v>824</v>
      </c>
      <c r="T108" s="1354" t="s">
        <v>825</v>
      </c>
      <c r="U108" s="1354" t="s">
        <v>155</v>
      </c>
      <c r="V108" s="1358"/>
      <c r="W108" s="1359"/>
      <c r="X108" s="1360"/>
      <c r="Y108" s="1361"/>
      <c r="Z108" s="1362"/>
      <c r="AA108" s="1362"/>
      <c r="AB108" s="1371" t="s">
        <v>290</v>
      </c>
      <c r="AC108" s="1372" t="s">
        <v>826</v>
      </c>
      <c r="AD108" s="1373" t="s">
        <v>827</v>
      </c>
      <c r="AE108" s="1373" t="s">
        <v>827</v>
      </c>
      <c r="AF108" s="1373" t="s">
        <v>828</v>
      </c>
      <c r="AG108" s="1373" t="s">
        <v>823</v>
      </c>
      <c r="AH108" s="1373" t="s">
        <v>829</v>
      </c>
      <c r="AI108" s="1373" t="s">
        <v>830</v>
      </c>
      <c r="AJ108" s="1373" t="s">
        <v>831</v>
      </c>
      <c r="AK108" s="1373" t="s">
        <v>157</v>
      </c>
      <c r="AL108" s="1165" t="s">
        <v>303</v>
      </c>
      <c r="AN108" s="263"/>
      <c r="AO108" s="265"/>
    </row>
    <row r="109" spans="2:46" ht="12.75" customHeight="1" x14ac:dyDescent="0.2">
      <c r="B109" s="21"/>
      <c r="C109" s="367"/>
      <c r="D109" s="388"/>
      <c r="E109" s="383"/>
      <c r="F109" s="389"/>
      <c r="G109" s="384" t="s">
        <v>159</v>
      </c>
      <c r="H109" s="385" t="s">
        <v>160</v>
      </c>
      <c r="I109" s="384"/>
      <c r="J109" s="384"/>
      <c r="K109" s="386"/>
      <c r="L109" s="1291"/>
      <c r="M109" s="1367" t="s">
        <v>832</v>
      </c>
      <c r="N109" s="1355" t="s">
        <v>833</v>
      </c>
      <c r="O109" s="1356" t="s">
        <v>834</v>
      </c>
      <c r="P109" s="1357" t="s">
        <v>95</v>
      </c>
      <c r="Q109" s="1355" t="s">
        <v>835</v>
      </c>
      <c r="R109" s="1356" t="s">
        <v>836</v>
      </c>
      <c r="S109" s="1368" t="s">
        <v>837</v>
      </c>
      <c r="T109" s="1368" t="s">
        <v>838</v>
      </c>
      <c r="U109" s="1354" t="s">
        <v>95</v>
      </c>
      <c r="V109" s="1358"/>
      <c r="W109" s="1359"/>
      <c r="X109" s="1360"/>
      <c r="Y109" s="1369"/>
      <c r="Z109" s="1362"/>
      <c r="AA109" s="1362"/>
      <c r="AB109" s="1373" t="s">
        <v>839</v>
      </c>
      <c r="AC109" s="1374">
        <f>tab!$D$101</f>
        <v>0.53</v>
      </c>
      <c r="AD109" s="1373" t="s">
        <v>840</v>
      </c>
      <c r="AE109" s="1373" t="s">
        <v>841</v>
      </c>
      <c r="AF109" s="1373" t="s">
        <v>842</v>
      </c>
      <c r="AG109" s="1373" t="s">
        <v>835</v>
      </c>
      <c r="AH109" s="1373" t="s">
        <v>843</v>
      </c>
      <c r="AI109" s="1373" t="s">
        <v>843</v>
      </c>
      <c r="AJ109" s="1373" t="s">
        <v>844</v>
      </c>
      <c r="AK109" s="1373"/>
      <c r="AL109" s="1373" t="s">
        <v>156</v>
      </c>
      <c r="AM109" s="6"/>
      <c r="AO109" s="269"/>
    </row>
    <row r="110" spans="2:46" ht="12.75" customHeight="1" x14ac:dyDescent="0.2">
      <c r="B110" s="21"/>
      <c r="C110" s="35"/>
      <c r="D110" s="187"/>
      <c r="E110" s="187"/>
      <c r="F110" s="187"/>
      <c r="G110" s="186"/>
      <c r="H110" s="193"/>
      <c r="I110" s="368"/>
      <c r="J110" s="368"/>
      <c r="K110" s="369"/>
      <c r="L110" s="1292"/>
      <c r="M110" s="369"/>
      <c r="N110" s="370"/>
      <c r="O110" s="371"/>
      <c r="P110" s="372"/>
      <c r="Q110" s="372"/>
      <c r="R110" s="372"/>
      <c r="S110" s="372"/>
      <c r="T110" s="373"/>
      <c r="U110" s="374"/>
      <c r="V110" s="370"/>
      <c r="W110" s="25"/>
      <c r="AC110" s="6"/>
      <c r="AD110" s="6"/>
      <c r="AL110" s="6"/>
      <c r="AM110" s="6"/>
      <c r="AO110" s="269"/>
    </row>
    <row r="111" spans="2:46" x14ac:dyDescent="0.2">
      <c r="B111" s="21"/>
      <c r="C111" s="35"/>
      <c r="D111" s="862" t="str">
        <f t="shared" ref="D111:D130" si="152">IF(D79=0,"",D79)</f>
        <v/>
      </c>
      <c r="E111" s="862" t="str">
        <f t="shared" ref="E111:E130" si="153">IF(E79="","",E79)</f>
        <v/>
      </c>
      <c r="F111" s="862" t="str">
        <f t="shared" ref="F111:F130" si="154">IF(F79=0,"",F79)</f>
        <v/>
      </c>
      <c r="G111" s="863" t="str">
        <f t="shared" ref="G111:G130" si="155">IF(G79="","",G79+1)</f>
        <v/>
      </c>
      <c r="H111" s="864" t="str">
        <f t="shared" ref="H111" si="156">IF(H79=0,"",H79)</f>
        <v/>
      </c>
      <c r="I111" s="865" t="str">
        <f>IF(I79=0,"",I79)</f>
        <v/>
      </c>
      <c r="J111" s="863" t="str">
        <f t="shared" ref="J111:J130" si="157">IF(E111="","",IF(J79&lt;VLOOKUP(I111,tabelsalaris2015VO,19,FALSE),J79+1,J79))</f>
        <v/>
      </c>
      <c r="K111" s="866" t="str">
        <f t="shared" ref="K111" si="158">IF(K79="","",K79)</f>
        <v/>
      </c>
      <c r="L111" s="1293"/>
      <c r="M111" s="847">
        <v>0</v>
      </c>
      <c r="N111" s="1521">
        <v>0</v>
      </c>
      <c r="O111" s="1522" t="str">
        <f>IF(K111="","",K111*50)</f>
        <v/>
      </c>
      <c r="P111" s="1305">
        <f>SUM(M111:O111)</f>
        <v>0</v>
      </c>
      <c r="Q111" s="1304">
        <v>0</v>
      </c>
      <c r="R111" s="392" t="str">
        <f>IF(K111="","",(1659*K111-P111)*AE111)</f>
        <v/>
      </c>
      <c r="S111" s="392" t="str">
        <f>IF(K111="","",P111*AF111+AD111*(AH111+AI111*(1-AJ111)))</f>
        <v/>
      </c>
      <c r="T111" s="393">
        <f>ROUND(IF(K111="",0,+Q111/1659*(AB111*12*(1+tab!$D$111+tab!$D$112)-tab!$D$110)*tab!$D$108),-1)</f>
        <v>0</v>
      </c>
      <c r="U111" s="1321" t="str">
        <f>IF(K111="","",IF(E111=0,0,(R111+S111+T111)))</f>
        <v/>
      </c>
      <c r="V111" s="376"/>
      <c r="W111" s="25"/>
      <c r="AB111" s="1314" t="str">
        <f t="shared" ref="AB111:AB130" si="159">IF(I111="","",VLOOKUP(I111,tabelsalaris2016VO,J111+2,FALSE)*5/12+VLOOKUP(I111,tabelsalaris2016VO,J111+2,FALSE)*7/12)</f>
        <v/>
      </c>
      <c r="AC111" s="1374">
        <f>tab!$D$101</f>
        <v>0.53</v>
      </c>
      <c r="AD111" s="1313" t="e">
        <f>AB111*12/1659</f>
        <v>#VALUE!</v>
      </c>
      <c r="AE111" s="1313" t="e">
        <f>AB111*12*(1+AC111)/1659</f>
        <v>#VALUE!</v>
      </c>
      <c r="AF111" s="1313" t="e">
        <f>+AE111-AD111</f>
        <v>#VALUE!</v>
      </c>
      <c r="AG111" s="14">
        <f>Q111</f>
        <v>0</v>
      </c>
      <c r="AH111" s="1315" t="str">
        <f>O111</f>
        <v/>
      </c>
      <c r="AI111" s="14">
        <f>(M111+N111)</f>
        <v>0</v>
      </c>
      <c r="AJ111" s="1316">
        <f>IF(I111&gt;8,50%,40%)</f>
        <v>0.5</v>
      </c>
      <c r="AK111" s="6">
        <f>IF(G111&lt;25,0,IF(G111=25,25,IF(G111&lt;40,0,IF(G111=40,40,IF(G111&gt;=40,0)))))</f>
        <v>0</v>
      </c>
      <c r="AL111" s="1317">
        <f>IF(AK111=25,AB111*1.08*K111/2,IF(AK111=40,AB111*1.08*K111,0))</f>
        <v>0</v>
      </c>
    </row>
    <row r="112" spans="2:46" x14ac:dyDescent="0.2">
      <c r="B112" s="21"/>
      <c r="C112" s="35"/>
      <c r="D112" s="862" t="str">
        <f t="shared" si="152"/>
        <v/>
      </c>
      <c r="E112" s="862" t="str">
        <f t="shared" si="153"/>
        <v/>
      </c>
      <c r="F112" s="862" t="str">
        <f t="shared" si="154"/>
        <v/>
      </c>
      <c r="G112" s="863" t="str">
        <f t="shared" si="155"/>
        <v/>
      </c>
      <c r="H112" s="864" t="str">
        <f t="shared" ref="H112:I112" si="160">IF(H80=0,"",H80)</f>
        <v/>
      </c>
      <c r="I112" s="865" t="str">
        <f t="shared" si="160"/>
        <v/>
      </c>
      <c r="J112" s="863" t="str">
        <f t="shared" si="157"/>
        <v/>
      </c>
      <c r="K112" s="866" t="str">
        <f t="shared" ref="K112" si="161">IF(K80="","",K80)</f>
        <v/>
      </c>
      <c r="L112" s="1293"/>
      <c r="M112" s="847">
        <v>0</v>
      </c>
      <c r="N112" s="1521">
        <v>0</v>
      </c>
      <c r="O112" s="1522" t="str">
        <f t="shared" ref="O112:O130" si="162">IF(K112="","",K112*50)</f>
        <v/>
      </c>
      <c r="P112" s="1305">
        <f t="shared" ref="P112:P130" si="163">SUM(M112:O112)</f>
        <v>0</v>
      </c>
      <c r="Q112" s="1304">
        <v>0</v>
      </c>
      <c r="R112" s="392" t="str">
        <f t="shared" ref="R112:R130" si="164">IF(K112="","",(1659*K112-P112)*AE112)</f>
        <v/>
      </c>
      <c r="S112" s="392" t="str">
        <f t="shared" ref="S112:S130" si="165">IF(K112="","",P112*AF112+AD112*(AH112+AI112*(1-AJ112)))</f>
        <v/>
      </c>
      <c r="T112" s="393">
        <f>ROUND(IF(K112="",0,+Q112/1659*(AB112*12*(1+tab!$D$111+tab!$D$112)-tab!$D$110)*tab!$D$108),-1)</f>
        <v>0</v>
      </c>
      <c r="U112" s="1321" t="str">
        <f t="shared" ref="U112:U130" si="166">IF(K112="","",IF(E112=0,0,(R112+S112+T112)))</f>
        <v/>
      </c>
      <c r="V112" s="376"/>
      <c r="W112" s="25"/>
      <c r="AB112" s="1314" t="str">
        <f t="shared" si="159"/>
        <v/>
      </c>
      <c r="AC112" s="1374">
        <f>tab!$D$101</f>
        <v>0.53</v>
      </c>
      <c r="AD112" s="1313" t="e">
        <f t="shared" ref="AD112:AD130" si="167">AB112*12/1659</f>
        <v>#VALUE!</v>
      </c>
      <c r="AE112" s="1313" t="e">
        <f t="shared" ref="AE112:AE130" si="168">AB112*12*(1+AC112)/1659</f>
        <v>#VALUE!</v>
      </c>
      <c r="AF112" s="1313" t="e">
        <f t="shared" ref="AF112:AF130" si="169">+AE112-AD112</f>
        <v>#VALUE!</v>
      </c>
      <c r="AG112" s="14">
        <f t="shared" ref="AG112:AG130" si="170">Q112</f>
        <v>0</v>
      </c>
      <c r="AH112" s="1315" t="str">
        <f t="shared" ref="AH112:AH130" si="171">O112</f>
        <v/>
      </c>
      <c r="AI112" s="14">
        <f t="shared" ref="AI112:AI130" si="172">(M112+N112)</f>
        <v>0</v>
      </c>
      <c r="AJ112" s="1316">
        <f t="shared" ref="AJ112:AJ130" si="173">IF(I112&gt;8,50%,40%)</f>
        <v>0.5</v>
      </c>
      <c r="AK112" s="6">
        <f t="shared" ref="AK112:AK130" si="174">IF(G112&lt;25,0,IF(G112=25,25,IF(G112&lt;40,0,IF(G112=40,40,IF(G112&gt;=40,0)))))</f>
        <v>0</v>
      </c>
      <c r="AL112" s="1317">
        <f t="shared" ref="AL112:AL130" si="175">IF(AK112=25,AB112*1.08*K112/2,IF(AK112=40,AB112*1.08*K112,0))</f>
        <v>0</v>
      </c>
    </row>
    <row r="113" spans="2:46" x14ac:dyDescent="0.2">
      <c r="B113" s="21"/>
      <c r="C113" s="35"/>
      <c r="D113" s="862" t="str">
        <f t="shared" si="152"/>
        <v/>
      </c>
      <c r="E113" s="862" t="str">
        <f t="shared" si="153"/>
        <v/>
      </c>
      <c r="F113" s="862" t="str">
        <f t="shared" si="154"/>
        <v/>
      </c>
      <c r="G113" s="863" t="str">
        <f t="shared" si="155"/>
        <v/>
      </c>
      <c r="H113" s="864" t="str">
        <f t="shared" ref="H113:I113" si="176">IF(H81=0,"",H81)</f>
        <v/>
      </c>
      <c r="I113" s="865" t="str">
        <f t="shared" si="176"/>
        <v/>
      </c>
      <c r="J113" s="863" t="str">
        <f t="shared" si="157"/>
        <v/>
      </c>
      <c r="K113" s="866" t="str">
        <f t="shared" ref="K113" si="177">IF(K81="","",K81)</f>
        <v/>
      </c>
      <c r="L113" s="1293"/>
      <c r="M113" s="847">
        <v>0</v>
      </c>
      <c r="N113" s="1521">
        <v>0</v>
      </c>
      <c r="O113" s="1522" t="str">
        <f t="shared" si="162"/>
        <v/>
      </c>
      <c r="P113" s="1305">
        <f t="shared" si="163"/>
        <v>0</v>
      </c>
      <c r="Q113" s="1304">
        <v>0</v>
      </c>
      <c r="R113" s="392" t="str">
        <f t="shared" si="164"/>
        <v/>
      </c>
      <c r="S113" s="392" t="str">
        <f t="shared" si="165"/>
        <v/>
      </c>
      <c r="T113" s="393">
        <f>ROUND(IF(K113="",0,+Q113/1659*(AB113*12*(1+tab!$D$111+tab!$D$112)-tab!$D$110)*tab!$D$108),-1)</f>
        <v>0</v>
      </c>
      <c r="U113" s="1321" t="str">
        <f t="shared" si="166"/>
        <v/>
      </c>
      <c r="V113" s="376"/>
      <c r="W113" s="25"/>
      <c r="AB113" s="1314" t="str">
        <f t="shared" si="159"/>
        <v/>
      </c>
      <c r="AC113" s="1374">
        <f>tab!$D$101</f>
        <v>0.53</v>
      </c>
      <c r="AD113" s="1313" t="e">
        <f t="shared" si="167"/>
        <v>#VALUE!</v>
      </c>
      <c r="AE113" s="1313" t="e">
        <f t="shared" si="168"/>
        <v>#VALUE!</v>
      </c>
      <c r="AF113" s="1313" t="e">
        <f t="shared" si="169"/>
        <v>#VALUE!</v>
      </c>
      <c r="AG113" s="14">
        <f t="shared" si="170"/>
        <v>0</v>
      </c>
      <c r="AH113" s="1315" t="str">
        <f t="shared" si="171"/>
        <v/>
      </c>
      <c r="AI113" s="14">
        <f t="shared" si="172"/>
        <v>0</v>
      </c>
      <c r="AJ113" s="1316">
        <f t="shared" si="173"/>
        <v>0.5</v>
      </c>
      <c r="AK113" s="6">
        <f t="shared" si="174"/>
        <v>0</v>
      </c>
      <c r="AL113" s="1317">
        <f t="shared" si="175"/>
        <v>0</v>
      </c>
      <c r="AT113" s="271"/>
    </row>
    <row r="114" spans="2:46" x14ac:dyDescent="0.2">
      <c r="B114" s="21"/>
      <c r="C114" s="35"/>
      <c r="D114" s="862" t="str">
        <f t="shared" si="152"/>
        <v/>
      </c>
      <c r="E114" s="862" t="str">
        <f t="shared" si="153"/>
        <v/>
      </c>
      <c r="F114" s="862" t="str">
        <f t="shared" si="154"/>
        <v/>
      </c>
      <c r="G114" s="863" t="str">
        <f t="shared" si="155"/>
        <v/>
      </c>
      <c r="H114" s="864" t="str">
        <f t="shared" ref="H114:I114" si="178">IF(H82=0,"",H82)</f>
        <v/>
      </c>
      <c r="I114" s="865" t="str">
        <f t="shared" si="178"/>
        <v/>
      </c>
      <c r="J114" s="863" t="str">
        <f t="shared" si="157"/>
        <v/>
      </c>
      <c r="K114" s="866" t="str">
        <f t="shared" ref="K114" si="179">IF(K82="","",K82)</f>
        <v/>
      </c>
      <c r="L114" s="1293"/>
      <c r="M114" s="847">
        <v>0</v>
      </c>
      <c r="N114" s="1521">
        <v>0</v>
      </c>
      <c r="O114" s="1522" t="str">
        <f t="shared" si="162"/>
        <v/>
      </c>
      <c r="P114" s="1305">
        <f t="shared" si="163"/>
        <v>0</v>
      </c>
      <c r="Q114" s="1304">
        <v>0</v>
      </c>
      <c r="R114" s="392" t="str">
        <f t="shared" si="164"/>
        <v/>
      </c>
      <c r="S114" s="392" t="str">
        <f t="shared" si="165"/>
        <v/>
      </c>
      <c r="T114" s="393">
        <f>ROUND(IF(K114="",0,+Q114/1659*(AB114*12*(1+tab!$D$111+tab!$D$112)-tab!$D$110)*tab!$D$108),-1)</f>
        <v>0</v>
      </c>
      <c r="U114" s="1321" t="str">
        <f t="shared" si="166"/>
        <v/>
      </c>
      <c r="V114" s="376"/>
      <c r="W114" s="25"/>
      <c r="AB114" s="1314" t="str">
        <f t="shared" si="159"/>
        <v/>
      </c>
      <c r="AC114" s="1374">
        <f>tab!$D$101</f>
        <v>0.53</v>
      </c>
      <c r="AD114" s="1313" t="e">
        <f t="shared" si="167"/>
        <v>#VALUE!</v>
      </c>
      <c r="AE114" s="1313" t="e">
        <f t="shared" si="168"/>
        <v>#VALUE!</v>
      </c>
      <c r="AF114" s="1313" t="e">
        <f t="shared" si="169"/>
        <v>#VALUE!</v>
      </c>
      <c r="AG114" s="14">
        <f t="shared" si="170"/>
        <v>0</v>
      </c>
      <c r="AH114" s="1315" t="str">
        <f t="shared" si="171"/>
        <v/>
      </c>
      <c r="AI114" s="14">
        <f t="shared" si="172"/>
        <v>0</v>
      </c>
      <c r="AJ114" s="1316">
        <f t="shared" si="173"/>
        <v>0.5</v>
      </c>
      <c r="AK114" s="6">
        <f t="shared" si="174"/>
        <v>0</v>
      </c>
      <c r="AL114" s="1317">
        <f t="shared" si="175"/>
        <v>0</v>
      </c>
      <c r="AT114" s="271"/>
    </row>
    <row r="115" spans="2:46" x14ac:dyDescent="0.2">
      <c r="B115" s="21"/>
      <c r="C115" s="35"/>
      <c r="D115" s="862" t="str">
        <f t="shared" si="152"/>
        <v/>
      </c>
      <c r="E115" s="862" t="str">
        <f t="shared" si="153"/>
        <v/>
      </c>
      <c r="F115" s="862" t="str">
        <f t="shared" si="154"/>
        <v/>
      </c>
      <c r="G115" s="863" t="str">
        <f t="shared" si="155"/>
        <v/>
      </c>
      <c r="H115" s="864" t="str">
        <f t="shared" ref="H115:I115" si="180">IF(H83=0,"",H83)</f>
        <v/>
      </c>
      <c r="I115" s="865" t="str">
        <f t="shared" si="180"/>
        <v/>
      </c>
      <c r="J115" s="863" t="str">
        <f t="shared" si="157"/>
        <v/>
      </c>
      <c r="K115" s="866" t="str">
        <f t="shared" ref="K115" si="181">IF(K83="","",K83)</f>
        <v/>
      </c>
      <c r="L115" s="1293"/>
      <c r="M115" s="847">
        <v>0</v>
      </c>
      <c r="N115" s="1521">
        <v>0</v>
      </c>
      <c r="O115" s="1522" t="str">
        <f t="shared" si="162"/>
        <v/>
      </c>
      <c r="P115" s="1305">
        <f t="shared" si="163"/>
        <v>0</v>
      </c>
      <c r="Q115" s="1304">
        <v>0</v>
      </c>
      <c r="R115" s="392" t="str">
        <f t="shared" si="164"/>
        <v/>
      </c>
      <c r="S115" s="392" t="str">
        <f t="shared" si="165"/>
        <v/>
      </c>
      <c r="T115" s="393">
        <f>ROUND(IF(K115="",0,+Q115/1659*(AB115*12*(1+tab!$D$111+tab!$D$112)-tab!$D$110)*tab!$D$108),-1)</f>
        <v>0</v>
      </c>
      <c r="U115" s="1321" t="str">
        <f t="shared" si="166"/>
        <v/>
      </c>
      <c r="V115" s="376"/>
      <c r="W115" s="25"/>
      <c r="AB115" s="1314" t="str">
        <f t="shared" si="159"/>
        <v/>
      </c>
      <c r="AC115" s="1374">
        <f>tab!$D$101</f>
        <v>0.53</v>
      </c>
      <c r="AD115" s="1313" t="e">
        <f t="shared" si="167"/>
        <v>#VALUE!</v>
      </c>
      <c r="AE115" s="1313" t="e">
        <f t="shared" si="168"/>
        <v>#VALUE!</v>
      </c>
      <c r="AF115" s="1313" t="e">
        <f t="shared" si="169"/>
        <v>#VALUE!</v>
      </c>
      <c r="AG115" s="14">
        <f t="shared" si="170"/>
        <v>0</v>
      </c>
      <c r="AH115" s="1315" t="str">
        <f t="shared" si="171"/>
        <v/>
      </c>
      <c r="AI115" s="14">
        <f t="shared" si="172"/>
        <v>0</v>
      </c>
      <c r="AJ115" s="1316">
        <f t="shared" si="173"/>
        <v>0.5</v>
      </c>
      <c r="AK115" s="6">
        <f t="shared" si="174"/>
        <v>0</v>
      </c>
      <c r="AL115" s="1317">
        <f t="shared" si="175"/>
        <v>0</v>
      </c>
      <c r="AT115" s="271"/>
    </row>
    <row r="116" spans="2:46" x14ac:dyDescent="0.2">
      <c r="B116" s="21"/>
      <c r="C116" s="35"/>
      <c r="D116" s="862" t="str">
        <f t="shared" si="152"/>
        <v/>
      </c>
      <c r="E116" s="862" t="str">
        <f t="shared" si="153"/>
        <v/>
      </c>
      <c r="F116" s="862" t="str">
        <f t="shared" si="154"/>
        <v/>
      </c>
      <c r="G116" s="863" t="str">
        <f t="shared" si="155"/>
        <v/>
      </c>
      <c r="H116" s="864" t="str">
        <f t="shared" ref="H116:I116" si="182">IF(H84=0,"",H84)</f>
        <v/>
      </c>
      <c r="I116" s="865" t="str">
        <f t="shared" si="182"/>
        <v/>
      </c>
      <c r="J116" s="863" t="str">
        <f t="shared" si="157"/>
        <v/>
      </c>
      <c r="K116" s="866" t="str">
        <f t="shared" ref="K116" si="183">IF(K84="","",K84)</f>
        <v/>
      </c>
      <c r="L116" s="1293"/>
      <c r="M116" s="847">
        <v>0</v>
      </c>
      <c r="N116" s="1521">
        <v>0</v>
      </c>
      <c r="O116" s="1522" t="str">
        <f t="shared" si="162"/>
        <v/>
      </c>
      <c r="P116" s="1305">
        <f t="shared" si="163"/>
        <v>0</v>
      </c>
      <c r="Q116" s="1304">
        <v>0</v>
      </c>
      <c r="R116" s="392" t="str">
        <f t="shared" si="164"/>
        <v/>
      </c>
      <c r="S116" s="392" t="str">
        <f t="shared" si="165"/>
        <v/>
      </c>
      <c r="T116" s="393">
        <f>ROUND(IF(K116="",0,+Q116/1659*(AB116*12*(1+tab!$D$111+tab!$D$112)-tab!$D$110)*tab!$D$108),-1)</f>
        <v>0</v>
      </c>
      <c r="U116" s="1321" t="str">
        <f t="shared" si="166"/>
        <v/>
      </c>
      <c r="V116" s="376"/>
      <c r="W116" s="25"/>
      <c r="AB116" s="1314" t="str">
        <f t="shared" si="159"/>
        <v/>
      </c>
      <c r="AC116" s="1374">
        <f>tab!$D$101</f>
        <v>0.53</v>
      </c>
      <c r="AD116" s="1313" t="e">
        <f t="shared" si="167"/>
        <v>#VALUE!</v>
      </c>
      <c r="AE116" s="1313" t="e">
        <f t="shared" si="168"/>
        <v>#VALUE!</v>
      </c>
      <c r="AF116" s="1313" t="e">
        <f t="shared" si="169"/>
        <v>#VALUE!</v>
      </c>
      <c r="AG116" s="14">
        <f t="shared" si="170"/>
        <v>0</v>
      </c>
      <c r="AH116" s="1315" t="str">
        <f t="shared" si="171"/>
        <v/>
      </c>
      <c r="AI116" s="14">
        <f t="shared" si="172"/>
        <v>0</v>
      </c>
      <c r="AJ116" s="1316">
        <f t="shared" si="173"/>
        <v>0.5</v>
      </c>
      <c r="AK116" s="6">
        <f t="shared" si="174"/>
        <v>0</v>
      </c>
      <c r="AL116" s="1317">
        <f t="shared" si="175"/>
        <v>0</v>
      </c>
      <c r="AT116" s="271"/>
    </row>
    <row r="117" spans="2:46" x14ac:dyDescent="0.2">
      <c r="B117" s="21"/>
      <c r="C117" s="35"/>
      <c r="D117" s="862" t="str">
        <f t="shared" si="152"/>
        <v/>
      </c>
      <c r="E117" s="862" t="str">
        <f t="shared" si="153"/>
        <v/>
      </c>
      <c r="F117" s="862" t="str">
        <f t="shared" si="154"/>
        <v/>
      </c>
      <c r="G117" s="863" t="str">
        <f t="shared" si="155"/>
        <v/>
      </c>
      <c r="H117" s="864" t="str">
        <f t="shared" ref="H117:I117" si="184">IF(H85=0,"",H85)</f>
        <v/>
      </c>
      <c r="I117" s="865" t="str">
        <f t="shared" si="184"/>
        <v/>
      </c>
      <c r="J117" s="863" t="str">
        <f t="shared" si="157"/>
        <v/>
      </c>
      <c r="K117" s="866" t="str">
        <f t="shared" ref="K117" si="185">IF(K85="","",K85)</f>
        <v/>
      </c>
      <c r="L117" s="1293"/>
      <c r="M117" s="847">
        <v>0</v>
      </c>
      <c r="N117" s="1521">
        <v>0</v>
      </c>
      <c r="O117" s="1522" t="str">
        <f t="shared" si="162"/>
        <v/>
      </c>
      <c r="P117" s="1305">
        <f t="shared" si="163"/>
        <v>0</v>
      </c>
      <c r="Q117" s="1304">
        <v>0</v>
      </c>
      <c r="R117" s="392" t="str">
        <f t="shared" si="164"/>
        <v/>
      </c>
      <c r="S117" s="392" t="str">
        <f t="shared" si="165"/>
        <v/>
      </c>
      <c r="T117" s="393">
        <f>ROUND(IF(K117="",0,+Q117/1659*(AB117*12*(1+tab!$D$111+tab!$D$112)-tab!$D$110)*tab!$D$108),-1)</f>
        <v>0</v>
      </c>
      <c r="U117" s="1321" t="str">
        <f t="shared" si="166"/>
        <v/>
      </c>
      <c r="V117" s="376"/>
      <c r="W117" s="25"/>
      <c r="AB117" s="1314" t="str">
        <f t="shared" si="159"/>
        <v/>
      </c>
      <c r="AC117" s="1374">
        <f>tab!$D$101</f>
        <v>0.53</v>
      </c>
      <c r="AD117" s="1313" t="e">
        <f t="shared" si="167"/>
        <v>#VALUE!</v>
      </c>
      <c r="AE117" s="1313" t="e">
        <f t="shared" si="168"/>
        <v>#VALUE!</v>
      </c>
      <c r="AF117" s="1313" t="e">
        <f t="shared" si="169"/>
        <v>#VALUE!</v>
      </c>
      <c r="AG117" s="14">
        <f t="shared" si="170"/>
        <v>0</v>
      </c>
      <c r="AH117" s="1315" t="str">
        <f t="shared" si="171"/>
        <v/>
      </c>
      <c r="AI117" s="14">
        <f t="shared" si="172"/>
        <v>0</v>
      </c>
      <c r="AJ117" s="1316">
        <f t="shared" si="173"/>
        <v>0.5</v>
      </c>
      <c r="AK117" s="6">
        <f t="shared" si="174"/>
        <v>0</v>
      </c>
      <c r="AL117" s="1317">
        <f t="shared" si="175"/>
        <v>0</v>
      </c>
      <c r="AT117" s="271"/>
    </row>
    <row r="118" spans="2:46" x14ac:dyDescent="0.2">
      <c r="B118" s="21"/>
      <c r="C118" s="35"/>
      <c r="D118" s="862" t="str">
        <f t="shared" si="152"/>
        <v/>
      </c>
      <c r="E118" s="862" t="str">
        <f t="shared" si="153"/>
        <v/>
      </c>
      <c r="F118" s="862" t="str">
        <f t="shared" si="154"/>
        <v/>
      </c>
      <c r="G118" s="863" t="str">
        <f t="shared" si="155"/>
        <v/>
      </c>
      <c r="H118" s="864" t="str">
        <f t="shared" ref="H118:I118" si="186">IF(H86=0,"",H86)</f>
        <v/>
      </c>
      <c r="I118" s="865" t="str">
        <f t="shared" si="186"/>
        <v/>
      </c>
      <c r="J118" s="863" t="str">
        <f t="shared" si="157"/>
        <v/>
      </c>
      <c r="K118" s="866" t="str">
        <f t="shared" ref="K118" si="187">IF(K86="","",K86)</f>
        <v/>
      </c>
      <c r="L118" s="1293"/>
      <c r="M118" s="847">
        <v>0</v>
      </c>
      <c r="N118" s="1521">
        <v>0</v>
      </c>
      <c r="O118" s="1522" t="str">
        <f t="shared" si="162"/>
        <v/>
      </c>
      <c r="P118" s="1305">
        <f t="shared" si="163"/>
        <v>0</v>
      </c>
      <c r="Q118" s="1304">
        <v>0</v>
      </c>
      <c r="R118" s="392" t="str">
        <f t="shared" si="164"/>
        <v/>
      </c>
      <c r="S118" s="392" t="str">
        <f t="shared" si="165"/>
        <v/>
      </c>
      <c r="T118" s="393">
        <f>ROUND(IF(K118="",0,+Q118/1659*(AB118*12*(1+tab!$D$111+tab!$D$112)-tab!$D$110)*tab!$D$108),-1)</f>
        <v>0</v>
      </c>
      <c r="U118" s="1321" t="str">
        <f t="shared" si="166"/>
        <v/>
      </c>
      <c r="V118" s="376"/>
      <c r="W118" s="25"/>
      <c r="AB118" s="1314" t="str">
        <f t="shared" si="159"/>
        <v/>
      </c>
      <c r="AC118" s="1374">
        <f>tab!$D$101</f>
        <v>0.53</v>
      </c>
      <c r="AD118" s="1313" t="e">
        <f t="shared" si="167"/>
        <v>#VALUE!</v>
      </c>
      <c r="AE118" s="1313" t="e">
        <f t="shared" si="168"/>
        <v>#VALUE!</v>
      </c>
      <c r="AF118" s="1313" t="e">
        <f t="shared" si="169"/>
        <v>#VALUE!</v>
      </c>
      <c r="AG118" s="14">
        <f t="shared" si="170"/>
        <v>0</v>
      </c>
      <c r="AH118" s="1315" t="str">
        <f t="shared" si="171"/>
        <v/>
      </c>
      <c r="AI118" s="14">
        <f t="shared" si="172"/>
        <v>0</v>
      </c>
      <c r="AJ118" s="1316">
        <f t="shared" si="173"/>
        <v>0.5</v>
      </c>
      <c r="AK118" s="6">
        <f t="shared" si="174"/>
        <v>0</v>
      </c>
      <c r="AL118" s="1317">
        <f t="shared" si="175"/>
        <v>0</v>
      </c>
      <c r="AT118" s="271"/>
    </row>
    <row r="119" spans="2:46" x14ac:dyDescent="0.2">
      <c r="B119" s="21"/>
      <c r="C119" s="35"/>
      <c r="D119" s="862" t="str">
        <f t="shared" si="152"/>
        <v/>
      </c>
      <c r="E119" s="862" t="str">
        <f t="shared" si="153"/>
        <v/>
      </c>
      <c r="F119" s="862" t="str">
        <f t="shared" si="154"/>
        <v/>
      </c>
      <c r="G119" s="863" t="str">
        <f t="shared" si="155"/>
        <v/>
      </c>
      <c r="H119" s="864" t="str">
        <f t="shared" ref="H119:I119" si="188">IF(H87=0,"",H87)</f>
        <v/>
      </c>
      <c r="I119" s="865" t="str">
        <f t="shared" si="188"/>
        <v/>
      </c>
      <c r="J119" s="863" t="str">
        <f t="shared" si="157"/>
        <v/>
      </c>
      <c r="K119" s="866" t="str">
        <f t="shared" ref="K119" si="189">IF(K87="","",K87)</f>
        <v/>
      </c>
      <c r="L119" s="1293"/>
      <c r="M119" s="847">
        <v>0</v>
      </c>
      <c r="N119" s="1521">
        <v>0</v>
      </c>
      <c r="O119" s="1522" t="str">
        <f t="shared" si="162"/>
        <v/>
      </c>
      <c r="P119" s="1305">
        <f t="shared" si="163"/>
        <v>0</v>
      </c>
      <c r="Q119" s="1304">
        <v>0</v>
      </c>
      <c r="R119" s="392" t="str">
        <f t="shared" si="164"/>
        <v/>
      </c>
      <c r="S119" s="392" t="str">
        <f t="shared" si="165"/>
        <v/>
      </c>
      <c r="T119" s="393">
        <f>ROUND(IF(K119="",0,+Q119/1659*(AB119*12*(1+tab!$D$111+tab!$D$112)-tab!$D$110)*tab!$D$108),-1)</f>
        <v>0</v>
      </c>
      <c r="U119" s="1321" t="str">
        <f t="shared" si="166"/>
        <v/>
      </c>
      <c r="V119" s="376"/>
      <c r="W119" s="25"/>
      <c r="AB119" s="1314" t="str">
        <f t="shared" si="159"/>
        <v/>
      </c>
      <c r="AC119" s="1374">
        <f>tab!$D$101</f>
        <v>0.53</v>
      </c>
      <c r="AD119" s="1313" t="e">
        <f t="shared" si="167"/>
        <v>#VALUE!</v>
      </c>
      <c r="AE119" s="1313" t="e">
        <f t="shared" si="168"/>
        <v>#VALUE!</v>
      </c>
      <c r="AF119" s="1313" t="e">
        <f t="shared" si="169"/>
        <v>#VALUE!</v>
      </c>
      <c r="AG119" s="14">
        <f t="shared" si="170"/>
        <v>0</v>
      </c>
      <c r="AH119" s="1315" t="str">
        <f t="shared" si="171"/>
        <v/>
      </c>
      <c r="AI119" s="14">
        <f t="shared" si="172"/>
        <v>0</v>
      </c>
      <c r="AJ119" s="1316">
        <f t="shared" si="173"/>
        <v>0.5</v>
      </c>
      <c r="AK119" s="6">
        <f t="shared" si="174"/>
        <v>0</v>
      </c>
      <c r="AL119" s="1317">
        <f t="shared" si="175"/>
        <v>0</v>
      </c>
      <c r="AT119" s="271"/>
    </row>
    <row r="120" spans="2:46" x14ac:dyDescent="0.2">
      <c r="B120" s="21"/>
      <c r="C120" s="35"/>
      <c r="D120" s="862" t="str">
        <f t="shared" si="152"/>
        <v/>
      </c>
      <c r="E120" s="862" t="str">
        <f t="shared" si="153"/>
        <v/>
      </c>
      <c r="F120" s="862" t="str">
        <f t="shared" si="154"/>
        <v/>
      </c>
      <c r="G120" s="863" t="str">
        <f t="shared" si="155"/>
        <v/>
      </c>
      <c r="H120" s="864" t="str">
        <f t="shared" ref="H120:I120" si="190">IF(H88=0,"",H88)</f>
        <v/>
      </c>
      <c r="I120" s="865" t="str">
        <f t="shared" si="190"/>
        <v/>
      </c>
      <c r="J120" s="863" t="str">
        <f t="shared" si="157"/>
        <v/>
      </c>
      <c r="K120" s="866" t="str">
        <f t="shared" ref="K120" si="191">IF(K88="","",K88)</f>
        <v/>
      </c>
      <c r="L120" s="1293"/>
      <c r="M120" s="847">
        <v>0</v>
      </c>
      <c r="N120" s="1521">
        <v>0</v>
      </c>
      <c r="O120" s="1522" t="str">
        <f t="shared" si="162"/>
        <v/>
      </c>
      <c r="P120" s="1305">
        <f t="shared" si="163"/>
        <v>0</v>
      </c>
      <c r="Q120" s="1304">
        <v>0</v>
      </c>
      <c r="R120" s="392" t="str">
        <f t="shared" si="164"/>
        <v/>
      </c>
      <c r="S120" s="392" t="str">
        <f t="shared" si="165"/>
        <v/>
      </c>
      <c r="T120" s="393">
        <f>ROUND(IF(K120="",0,+Q120/1659*(AB120*12*(1+tab!$D$111+tab!$D$112)-tab!$D$110)*tab!$D$108),-1)</f>
        <v>0</v>
      </c>
      <c r="U120" s="1321" t="str">
        <f t="shared" si="166"/>
        <v/>
      </c>
      <c r="V120" s="376"/>
      <c r="W120" s="25"/>
      <c r="AB120" s="1314" t="str">
        <f t="shared" si="159"/>
        <v/>
      </c>
      <c r="AC120" s="1374">
        <f>tab!$D$101</f>
        <v>0.53</v>
      </c>
      <c r="AD120" s="1313" t="e">
        <f t="shared" si="167"/>
        <v>#VALUE!</v>
      </c>
      <c r="AE120" s="1313" t="e">
        <f t="shared" si="168"/>
        <v>#VALUE!</v>
      </c>
      <c r="AF120" s="1313" t="e">
        <f t="shared" si="169"/>
        <v>#VALUE!</v>
      </c>
      <c r="AG120" s="14">
        <f t="shared" si="170"/>
        <v>0</v>
      </c>
      <c r="AH120" s="1315" t="str">
        <f t="shared" si="171"/>
        <v/>
      </c>
      <c r="AI120" s="14">
        <f t="shared" si="172"/>
        <v>0</v>
      </c>
      <c r="AJ120" s="1316">
        <f t="shared" si="173"/>
        <v>0.5</v>
      </c>
      <c r="AK120" s="6">
        <f t="shared" si="174"/>
        <v>0</v>
      </c>
      <c r="AL120" s="1317">
        <f t="shared" si="175"/>
        <v>0</v>
      </c>
      <c r="AT120" s="271"/>
    </row>
    <row r="121" spans="2:46" x14ac:dyDescent="0.2">
      <c r="B121" s="21"/>
      <c r="C121" s="35"/>
      <c r="D121" s="862" t="str">
        <f t="shared" si="152"/>
        <v/>
      </c>
      <c r="E121" s="862" t="str">
        <f t="shared" si="153"/>
        <v/>
      </c>
      <c r="F121" s="862" t="str">
        <f t="shared" si="154"/>
        <v/>
      </c>
      <c r="G121" s="863" t="str">
        <f t="shared" si="155"/>
        <v/>
      </c>
      <c r="H121" s="864" t="str">
        <f t="shared" ref="H121:I121" si="192">IF(H89=0,"",H89)</f>
        <v/>
      </c>
      <c r="I121" s="865" t="str">
        <f t="shared" si="192"/>
        <v/>
      </c>
      <c r="J121" s="863" t="str">
        <f t="shared" si="157"/>
        <v/>
      </c>
      <c r="K121" s="866" t="str">
        <f t="shared" ref="K121" si="193">IF(K89="","",K89)</f>
        <v/>
      </c>
      <c r="L121" s="1293"/>
      <c r="M121" s="847">
        <v>0</v>
      </c>
      <c r="N121" s="1521">
        <v>0</v>
      </c>
      <c r="O121" s="1522" t="str">
        <f t="shared" si="162"/>
        <v/>
      </c>
      <c r="P121" s="1305">
        <f t="shared" si="163"/>
        <v>0</v>
      </c>
      <c r="Q121" s="1304">
        <v>0</v>
      </c>
      <c r="R121" s="392" t="str">
        <f t="shared" si="164"/>
        <v/>
      </c>
      <c r="S121" s="392" t="str">
        <f t="shared" si="165"/>
        <v/>
      </c>
      <c r="T121" s="393">
        <f>ROUND(IF(K121="",0,+Q121/1659*(AB121*12*(1+tab!$D$111+tab!$D$112)-tab!$D$110)*tab!$D$108),-1)</f>
        <v>0</v>
      </c>
      <c r="U121" s="1321" t="str">
        <f t="shared" si="166"/>
        <v/>
      </c>
      <c r="V121" s="376"/>
      <c r="W121" s="25"/>
      <c r="AB121" s="1314" t="str">
        <f t="shared" si="159"/>
        <v/>
      </c>
      <c r="AC121" s="1374">
        <f>tab!$D$101</f>
        <v>0.53</v>
      </c>
      <c r="AD121" s="1313" t="e">
        <f t="shared" si="167"/>
        <v>#VALUE!</v>
      </c>
      <c r="AE121" s="1313" t="e">
        <f t="shared" si="168"/>
        <v>#VALUE!</v>
      </c>
      <c r="AF121" s="1313" t="e">
        <f t="shared" si="169"/>
        <v>#VALUE!</v>
      </c>
      <c r="AG121" s="14">
        <f t="shared" si="170"/>
        <v>0</v>
      </c>
      <c r="AH121" s="1315" t="str">
        <f t="shared" si="171"/>
        <v/>
      </c>
      <c r="AI121" s="14">
        <f t="shared" si="172"/>
        <v>0</v>
      </c>
      <c r="AJ121" s="1316">
        <f t="shared" si="173"/>
        <v>0.5</v>
      </c>
      <c r="AK121" s="6">
        <f t="shared" si="174"/>
        <v>0</v>
      </c>
      <c r="AL121" s="1317">
        <f t="shared" si="175"/>
        <v>0</v>
      </c>
      <c r="AT121" s="271"/>
    </row>
    <row r="122" spans="2:46" x14ac:dyDescent="0.2">
      <c r="B122" s="21"/>
      <c r="C122" s="35"/>
      <c r="D122" s="862" t="str">
        <f t="shared" si="152"/>
        <v/>
      </c>
      <c r="E122" s="862" t="str">
        <f t="shared" si="153"/>
        <v/>
      </c>
      <c r="F122" s="862" t="str">
        <f t="shared" si="154"/>
        <v/>
      </c>
      <c r="G122" s="863" t="str">
        <f t="shared" si="155"/>
        <v/>
      </c>
      <c r="H122" s="864" t="str">
        <f t="shared" ref="H122:I122" si="194">IF(H90=0,"",H90)</f>
        <v/>
      </c>
      <c r="I122" s="865" t="str">
        <f t="shared" si="194"/>
        <v/>
      </c>
      <c r="J122" s="863" t="str">
        <f t="shared" si="157"/>
        <v/>
      </c>
      <c r="K122" s="866" t="str">
        <f t="shared" ref="K122" si="195">IF(K90="","",K90)</f>
        <v/>
      </c>
      <c r="L122" s="1293"/>
      <c r="M122" s="847">
        <v>0</v>
      </c>
      <c r="N122" s="1521">
        <v>0</v>
      </c>
      <c r="O122" s="1522" t="str">
        <f t="shared" si="162"/>
        <v/>
      </c>
      <c r="P122" s="1305">
        <f t="shared" si="163"/>
        <v>0</v>
      </c>
      <c r="Q122" s="1304">
        <v>0</v>
      </c>
      <c r="R122" s="392" t="str">
        <f t="shared" si="164"/>
        <v/>
      </c>
      <c r="S122" s="392" t="str">
        <f t="shared" si="165"/>
        <v/>
      </c>
      <c r="T122" s="393">
        <f>ROUND(IF(K122="",0,+Q122/1659*(AB122*12*(1+tab!$D$111+tab!$D$112)-tab!$D$110)*tab!$D$108),-1)</f>
        <v>0</v>
      </c>
      <c r="U122" s="1321" t="str">
        <f t="shared" si="166"/>
        <v/>
      </c>
      <c r="V122" s="376"/>
      <c r="W122" s="25"/>
      <c r="AB122" s="1314" t="str">
        <f t="shared" si="159"/>
        <v/>
      </c>
      <c r="AC122" s="1374">
        <f>tab!$D$101</f>
        <v>0.53</v>
      </c>
      <c r="AD122" s="1313" t="e">
        <f t="shared" si="167"/>
        <v>#VALUE!</v>
      </c>
      <c r="AE122" s="1313" t="e">
        <f t="shared" si="168"/>
        <v>#VALUE!</v>
      </c>
      <c r="AF122" s="1313" t="e">
        <f t="shared" si="169"/>
        <v>#VALUE!</v>
      </c>
      <c r="AG122" s="14">
        <f t="shared" si="170"/>
        <v>0</v>
      </c>
      <c r="AH122" s="1315" t="str">
        <f t="shared" si="171"/>
        <v/>
      </c>
      <c r="AI122" s="14">
        <f t="shared" si="172"/>
        <v>0</v>
      </c>
      <c r="AJ122" s="1316">
        <f t="shared" si="173"/>
        <v>0.5</v>
      </c>
      <c r="AK122" s="6">
        <f t="shared" si="174"/>
        <v>0</v>
      </c>
      <c r="AL122" s="1317">
        <f t="shared" si="175"/>
        <v>0</v>
      </c>
      <c r="AT122" s="271"/>
    </row>
    <row r="123" spans="2:46" x14ac:dyDescent="0.2">
      <c r="B123" s="21"/>
      <c r="C123" s="35"/>
      <c r="D123" s="862" t="str">
        <f t="shared" si="152"/>
        <v/>
      </c>
      <c r="E123" s="862" t="str">
        <f t="shared" si="153"/>
        <v/>
      </c>
      <c r="F123" s="862" t="str">
        <f t="shared" si="154"/>
        <v/>
      </c>
      <c r="G123" s="863" t="str">
        <f t="shared" si="155"/>
        <v/>
      </c>
      <c r="H123" s="864" t="str">
        <f t="shared" ref="H123:I123" si="196">IF(H91=0,"",H91)</f>
        <v/>
      </c>
      <c r="I123" s="865" t="str">
        <f t="shared" si="196"/>
        <v/>
      </c>
      <c r="J123" s="863" t="str">
        <f t="shared" si="157"/>
        <v/>
      </c>
      <c r="K123" s="866" t="str">
        <f t="shared" ref="K123" si="197">IF(K91="","",K91)</f>
        <v/>
      </c>
      <c r="L123" s="1293"/>
      <c r="M123" s="847">
        <v>0</v>
      </c>
      <c r="N123" s="1521">
        <v>0</v>
      </c>
      <c r="O123" s="1522" t="str">
        <f t="shared" si="162"/>
        <v/>
      </c>
      <c r="P123" s="1305">
        <f t="shared" si="163"/>
        <v>0</v>
      </c>
      <c r="Q123" s="1304">
        <v>0</v>
      </c>
      <c r="R123" s="392" t="str">
        <f t="shared" si="164"/>
        <v/>
      </c>
      <c r="S123" s="392" t="str">
        <f t="shared" si="165"/>
        <v/>
      </c>
      <c r="T123" s="393">
        <f>ROUND(IF(K123="",0,+Q123/1659*(AB123*12*(1+tab!$D$111+tab!$D$112)-tab!$D$110)*tab!$D$108),-1)</f>
        <v>0</v>
      </c>
      <c r="U123" s="1321" t="str">
        <f t="shared" si="166"/>
        <v/>
      </c>
      <c r="V123" s="376"/>
      <c r="W123" s="25"/>
      <c r="AB123" s="1314" t="str">
        <f t="shared" si="159"/>
        <v/>
      </c>
      <c r="AC123" s="1374">
        <f>tab!$D$101</f>
        <v>0.53</v>
      </c>
      <c r="AD123" s="1313" t="e">
        <f t="shared" si="167"/>
        <v>#VALUE!</v>
      </c>
      <c r="AE123" s="1313" t="e">
        <f t="shared" si="168"/>
        <v>#VALUE!</v>
      </c>
      <c r="AF123" s="1313" t="e">
        <f t="shared" si="169"/>
        <v>#VALUE!</v>
      </c>
      <c r="AG123" s="14">
        <f t="shared" si="170"/>
        <v>0</v>
      </c>
      <c r="AH123" s="1315" t="str">
        <f t="shared" si="171"/>
        <v/>
      </c>
      <c r="AI123" s="14">
        <f t="shared" si="172"/>
        <v>0</v>
      </c>
      <c r="AJ123" s="1316">
        <f t="shared" si="173"/>
        <v>0.5</v>
      </c>
      <c r="AK123" s="6">
        <f t="shared" si="174"/>
        <v>0</v>
      </c>
      <c r="AL123" s="1317">
        <f t="shared" si="175"/>
        <v>0</v>
      </c>
      <c r="AT123" s="271"/>
    </row>
    <row r="124" spans="2:46" x14ac:dyDescent="0.2">
      <c r="B124" s="21"/>
      <c r="C124" s="35"/>
      <c r="D124" s="862" t="str">
        <f t="shared" si="152"/>
        <v/>
      </c>
      <c r="E124" s="862" t="str">
        <f t="shared" si="153"/>
        <v/>
      </c>
      <c r="F124" s="862" t="str">
        <f t="shared" si="154"/>
        <v/>
      </c>
      <c r="G124" s="863" t="str">
        <f t="shared" si="155"/>
        <v/>
      </c>
      <c r="H124" s="864" t="str">
        <f t="shared" ref="H124:I124" si="198">IF(H92=0,"",H92)</f>
        <v/>
      </c>
      <c r="I124" s="865" t="str">
        <f t="shared" si="198"/>
        <v/>
      </c>
      <c r="J124" s="863" t="str">
        <f t="shared" si="157"/>
        <v/>
      </c>
      <c r="K124" s="866" t="str">
        <f t="shared" ref="K124" si="199">IF(K92="","",K92)</f>
        <v/>
      </c>
      <c r="L124" s="1293"/>
      <c r="M124" s="847">
        <v>0</v>
      </c>
      <c r="N124" s="1521">
        <v>0</v>
      </c>
      <c r="O124" s="1522" t="str">
        <f t="shared" si="162"/>
        <v/>
      </c>
      <c r="P124" s="1305">
        <f t="shared" si="163"/>
        <v>0</v>
      </c>
      <c r="Q124" s="1304">
        <v>0</v>
      </c>
      <c r="R124" s="392" t="str">
        <f t="shared" si="164"/>
        <v/>
      </c>
      <c r="S124" s="392" t="str">
        <f t="shared" si="165"/>
        <v/>
      </c>
      <c r="T124" s="393">
        <f>ROUND(IF(K124="",0,+Q124/1659*(AB124*12*(1+tab!$D$111+tab!$D$112)-tab!$D$110)*tab!$D$108),-1)</f>
        <v>0</v>
      </c>
      <c r="U124" s="1321" t="str">
        <f t="shared" si="166"/>
        <v/>
      </c>
      <c r="V124" s="376"/>
      <c r="W124" s="25"/>
      <c r="AB124" s="1314" t="str">
        <f t="shared" si="159"/>
        <v/>
      </c>
      <c r="AC124" s="1374">
        <f>tab!$D$101</f>
        <v>0.53</v>
      </c>
      <c r="AD124" s="1313" t="e">
        <f t="shared" si="167"/>
        <v>#VALUE!</v>
      </c>
      <c r="AE124" s="1313" t="e">
        <f t="shared" si="168"/>
        <v>#VALUE!</v>
      </c>
      <c r="AF124" s="1313" t="e">
        <f t="shared" si="169"/>
        <v>#VALUE!</v>
      </c>
      <c r="AG124" s="14">
        <f t="shared" si="170"/>
        <v>0</v>
      </c>
      <c r="AH124" s="1315" t="str">
        <f t="shared" si="171"/>
        <v/>
      </c>
      <c r="AI124" s="14">
        <f t="shared" si="172"/>
        <v>0</v>
      </c>
      <c r="AJ124" s="1316">
        <f t="shared" si="173"/>
        <v>0.5</v>
      </c>
      <c r="AK124" s="6">
        <f t="shared" si="174"/>
        <v>0</v>
      </c>
      <c r="AL124" s="1317">
        <f t="shared" si="175"/>
        <v>0</v>
      </c>
      <c r="AT124" s="271"/>
    </row>
    <row r="125" spans="2:46" x14ac:dyDescent="0.2">
      <c r="B125" s="21"/>
      <c r="C125" s="35"/>
      <c r="D125" s="862" t="str">
        <f t="shared" si="152"/>
        <v/>
      </c>
      <c r="E125" s="862" t="str">
        <f t="shared" si="153"/>
        <v/>
      </c>
      <c r="F125" s="862" t="str">
        <f t="shared" si="154"/>
        <v/>
      </c>
      <c r="G125" s="863" t="str">
        <f t="shared" si="155"/>
        <v/>
      </c>
      <c r="H125" s="864" t="str">
        <f t="shared" ref="H125:I125" si="200">IF(H93=0,"",H93)</f>
        <v/>
      </c>
      <c r="I125" s="865" t="str">
        <f t="shared" si="200"/>
        <v/>
      </c>
      <c r="J125" s="863" t="str">
        <f t="shared" si="157"/>
        <v/>
      </c>
      <c r="K125" s="866" t="str">
        <f t="shared" ref="K125" si="201">IF(K93="","",K93)</f>
        <v/>
      </c>
      <c r="L125" s="1293"/>
      <c r="M125" s="847">
        <v>0</v>
      </c>
      <c r="N125" s="1521">
        <v>0</v>
      </c>
      <c r="O125" s="1522" t="str">
        <f t="shared" si="162"/>
        <v/>
      </c>
      <c r="P125" s="1305">
        <f t="shared" si="163"/>
        <v>0</v>
      </c>
      <c r="Q125" s="1304">
        <v>0</v>
      </c>
      <c r="R125" s="392" t="str">
        <f t="shared" si="164"/>
        <v/>
      </c>
      <c r="S125" s="392" t="str">
        <f t="shared" si="165"/>
        <v/>
      </c>
      <c r="T125" s="393">
        <f>ROUND(IF(K125="",0,+Q125/1659*(AB125*12*(1+tab!$D$111+tab!$D$112)-tab!$D$110)*tab!$D$108),-1)</f>
        <v>0</v>
      </c>
      <c r="U125" s="1321" t="str">
        <f t="shared" si="166"/>
        <v/>
      </c>
      <c r="V125" s="376"/>
      <c r="W125" s="25"/>
      <c r="AB125" s="1314" t="str">
        <f t="shared" si="159"/>
        <v/>
      </c>
      <c r="AC125" s="1374">
        <f>tab!$D$101</f>
        <v>0.53</v>
      </c>
      <c r="AD125" s="1313" t="e">
        <f t="shared" si="167"/>
        <v>#VALUE!</v>
      </c>
      <c r="AE125" s="1313" t="e">
        <f t="shared" si="168"/>
        <v>#VALUE!</v>
      </c>
      <c r="AF125" s="1313" t="e">
        <f t="shared" si="169"/>
        <v>#VALUE!</v>
      </c>
      <c r="AG125" s="14">
        <f t="shared" si="170"/>
        <v>0</v>
      </c>
      <c r="AH125" s="1315" t="str">
        <f t="shared" si="171"/>
        <v/>
      </c>
      <c r="AI125" s="14">
        <f t="shared" si="172"/>
        <v>0</v>
      </c>
      <c r="AJ125" s="1316">
        <f t="shared" si="173"/>
        <v>0.5</v>
      </c>
      <c r="AK125" s="6">
        <f t="shared" si="174"/>
        <v>0</v>
      </c>
      <c r="AL125" s="1317">
        <f t="shared" si="175"/>
        <v>0</v>
      </c>
      <c r="AT125" s="271"/>
    </row>
    <row r="126" spans="2:46" x14ac:dyDescent="0.2">
      <c r="B126" s="21"/>
      <c r="C126" s="35"/>
      <c r="D126" s="862" t="str">
        <f t="shared" si="152"/>
        <v/>
      </c>
      <c r="E126" s="862" t="str">
        <f t="shared" si="153"/>
        <v/>
      </c>
      <c r="F126" s="862" t="str">
        <f t="shared" si="154"/>
        <v/>
      </c>
      <c r="G126" s="863" t="str">
        <f t="shared" si="155"/>
        <v/>
      </c>
      <c r="H126" s="864" t="str">
        <f t="shared" ref="H126:I126" si="202">IF(H94=0,"",H94)</f>
        <v/>
      </c>
      <c r="I126" s="865" t="str">
        <f t="shared" si="202"/>
        <v/>
      </c>
      <c r="J126" s="863" t="str">
        <f t="shared" si="157"/>
        <v/>
      </c>
      <c r="K126" s="866" t="str">
        <f t="shared" ref="K126" si="203">IF(K94="","",K94)</f>
        <v/>
      </c>
      <c r="L126" s="1293"/>
      <c r="M126" s="847">
        <v>0</v>
      </c>
      <c r="N126" s="1521">
        <v>0</v>
      </c>
      <c r="O126" s="1522" t="str">
        <f t="shared" si="162"/>
        <v/>
      </c>
      <c r="P126" s="1305">
        <f t="shared" si="163"/>
        <v>0</v>
      </c>
      <c r="Q126" s="1304">
        <v>0</v>
      </c>
      <c r="R126" s="392" t="str">
        <f t="shared" si="164"/>
        <v/>
      </c>
      <c r="S126" s="392" t="str">
        <f t="shared" si="165"/>
        <v/>
      </c>
      <c r="T126" s="393">
        <f>ROUND(IF(K126="",0,+Q126/1659*(AB126*12*(1+tab!$D$111+tab!$D$112)-tab!$D$110)*tab!$D$108),-1)</f>
        <v>0</v>
      </c>
      <c r="U126" s="1321" t="str">
        <f t="shared" si="166"/>
        <v/>
      </c>
      <c r="V126" s="376"/>
      <c r="W126" s="25"/>
      <c r="AB126" s="1314" t="str">
        <f t="shared" si="159"/>
        <v/>
      </c>
      <c r="AC126" s="1374">
        <f>tab!$D$101</f>
        <v>0.53</v>
      </c>
      <c r="AD126" s="1313" t="e">
        <f t="shared" si="167"/>
        <v>#VALUE!</v>
      </c>
      <c r="AE126" s="1313" t="e">
        <f t="shared" si="168"/>
        <v>#VALUE!</v>
      </c>
      <c r="AF126" s="1313" t="e">
        <f t="shared" si="169"/>
        <v>#VALUE!</v>
      </c>
      <c r="AG126" s="14">
        <f t="shared" si="170"/>
        <v>0</v>
      </c>
      <c r="AH126" s="1315" t="str">
        <f t="shared" si="171"/>
        <v/>
      </c>
      <c r="AI126" s="14">
        <f t="shared" si="172"/>
        <v>0</v>
      </c>
      <c r="AJ126" s="1316">
        <f t="shared" si="173"/>
        <v>0.5</v>
      </c>
      <c r="AK126" s="6">
        <f t="shared" si="174"/>
        <v>0</v>
      </c>
      <c r="AL126" s="1317">
        <f t="shared" si="175"/>
        <v>0</v>
      </c>
      <c r="AT126" s="271"/>
    </row>
    <row r="127" spans="2:46" x14ac:dyDescent="0.2">
      <c r="B127" s="21"/>
      <c r="C127" s="35"/>
      <c r="D127" s="862" t="str">
        <f t="shared" si="152"/>
        <v/>
      </c>
      <c r="E127" s="862" t="str">
        <f t="shared" si="153"/>
        <v/>
      </c>
      <c r="F127" s="862" t="str">
        <f t="shared" si="154"/>
        <v/>
      </c>
      <c r="G127" s="863" t="str">
        <f t="shared" si="155"/>
        <v/>
      </c>
      <c r="H127" s="864" t="str">
        <f t="shared" ref="H127:I127" si="204">IF(H95=0,"",H95)</f>
        <v/>
      </c>
      <c r="I127" s="865" t="str">
        <f t="shared" si="204"/>
        <v/>
      </c>
      <c r="J127" s="863" t="str">
        <f t="shared" si="157"/>
        <v/>
      </c>
      <c r="K127" s="866" t="str">
        <f t="shared" ref="K127" si="205">IF(K95="","",K95)</f>
        <v/>
      </c>
      <c r="L127" s="1293"/>
      <c r="M127" s="847">
        <v>0</v>
      </c>
      <c r="N127" s="1521">
        <v>0</v>
      </c>
      <c r="O127" s="1522" t="str">
        <f t="shared" si="162"/>
        <v/>
      </c>
      <c r="P127" s="1305">
        <f t="shared" si="163"/>
        <v>0</v>
      </c>
      <c r="Q127" s="1304">
        <v>0</v>
      </c>
      <c r="R127" s="392" t="str">
        <f t="shared" si="164"/>
        <v/>
      </c>
      <c r="S127" s="392" t="str">
        <f t="shared" si="165"/>
        <v/>
      </c>
      <c r="T127" s="393">
        <f>ROUND(IF(K127="",0,+Q127/1659*(AB127*12*(1+tab!$D$111+tab!$D$112)-tab!$D$110)*tab!$D$108),-1)</f>
        <v>0</v>
      </c>
      <c r="U127" s="1321" t="str">
        <f t="shared" si="166"/>
        <v/>
      </c>
      <c r="V127" s="376"/>
      <c r="W127" s="25"/>
      <c r="AB127" s="1314" t="str">
        <f t="shared" si="159"/>
        <v/>
      </c>
      <c r="AC127" s="1374">
        <f>tab!$D$101</f>
        <v>0.53</v>
      </c>
      <c r="AD127" s="1313" t="e">
        <f t="shared" si="167"/>
        <v>#VALUE!</v>
      </c>
      <c r="AE127" s="1313" t="e">
        <f t="shared" si="168"/>
        <v>#VALUE!</v>
      </c>
      <c r="AF127" s="1313" t="e">
        <f t="shared" si="169"/>
        <v>#VALUE!</v>
      </c>
      <c r="AG127" s="14">
        <f t="shared" si="170"/>
        <v>0</v>
      </c>
      <c r="AH127" s="1315" t="str">
        <f t="shared" si="171"/>
        <v/>
      </c>
      <c r="AI127" s="14">
        <f t="shared" si="172"/>
        <v>0</v>
      </c>
      <c r="AJ127" s="1316">
        <f t="shared" si="173"/>
        <v>0.5</v>
      </c>
      <c r="AK127" s="6">
        <f t="shared" si="174"/>
        <v>0</v>
      </c>
      <c r="AL127" s="1317">
        <f t="shared" si="175"/>
        <v>0</v>
      </c>
      <c r="AT127" s="271"/>
    </row>
    <row r="128" spans="2:46" x14ac:dyDescent="0.2">
      <c r="B128" s="21"/>
      <c r="C128" s="35"/>
      <c r="D128" s="862" t="str">
        <f t="shared" si="152"/>
        <v/>
      </c>
      <c r="E128" s="862" t="str">
        <f t="shared" si="153"/>
        <v/>
      </c>
      <c r="F128" s="862" t="str">
        <f t="shared" si="154"/>
        <v/>
      </c>
      <c r="G128" s="863" t="str">
        <f t="shared" si="155"/>
        <v/>
      </c>
      <c r="H128" s="864" t="str">
        <f t="shared" ref="H128:I128" si="206">IF(H96=0,"",H96)</f>
        <v/>
      </c>
      <c r="I128" s="865" t="str">
        <f t="shared" si="206"/>
        <v/>
      </c>
      <c r="J128" s="863" t="str">
        <f t="shared" si="157"/>
        <v/>
      </c>
      <c r="K128" s="866" t="str">
        <f t="shared" ref="K128" si="207">IF(K96="","",K96)</f>
        <v/>
      </c>
      <c r="L128" s="1293"/>
      <c r="M128" s="847">
        <v>0</v>
      </c>
      <c r="N128" s="1521">
        <v>0</v>
      </c>
      <c r="O128" s="1522" t="str">
        <f t="shared" si="162"/>
        <v/>
      </c>
      <c r="P128" s="1305">
        <f t="shared" si="163"/>
        <v>0</v>
      </c>
      <c r="Q128" s="1304">
        <v>0</v>
      </c>
      <c r="R128" s="392" t="str">
        <f t="shared" si="164"/>
        <v/>
      </c>
      <c r="S128" s="392" t="str">
        <f t="shared" si="165"/>
        <v/>
      </c>
      <c r="T128" s="393">
        <f>ROUND(IF(K128="",0,+Q128/1659*(AB128*12*(1+tab!$D$111+tab!$D$112)-tab!$D$110)*tab!$D$108),-1)</f>
        <v>0</v>
      </c>
      <c r="U128" s="1321" t="str">
        <f t="shared" si="166"/>
        <v/>
      </c>
      <c r="V128" s="376"/>
      <c r="W128" s="25"/>
      <c r="AB128" s="1314" t="str">
        <f t="shared" si="159"/>
        <v/>
      </c>
      <c r="AC128" s="1374">
        <f>tab!$D$101</f>
        <v>0.53</v>
      </c>
      <c r="AD128" s="1313" t="e">
        <f t="shared" si="167"/>
        <v>#VALUE!</v>
      </c>
      <c r="AE128" s="1313" t="e">
        <f t="shared" si="168"/>
        <v>#VALUE!</v>
      </c>
      <c r="AF128" s="1313" t="e">
        <f t="shared" si="169"/>
        <v>#VALUE!</v>
      </c>
      <c r="AG128" s="14">
        <f t="shared" si="170"/>
        <v>0</v>
      </c>
      <c r="AH128" s="1315" t="str">
        <f t="shared" si="171"/>
        <v/>
      </c>
      <c r="AI128" s="14">
        <f t="shared" si="172"/>
        <v>0</v>
      </c>
      <c r="AJ128" s="1316">
        <f t="shared" si="173"/>
        <v>0.5</v>
      </c>
      <c r="AK128" s="6">
        <f t="shared" si="174"/>
        <v>0</v>
      </c>
      <c r="AL128" s="1317">
        <f t="shared" si="175"/>
        <v>0</v>
      </c>
      <c r="AT128" s="271"/>
    </row>
    <row r="129" spans="2:46" x14ac:dyDescent="0.2">
      <c r="B129" s="21"/>
      <c r="C129" s="35"/>
      <c r="D129" s="862" t="str">
        <f t="shared" si="152"/>
        <v/>
      </c>
      <c r="E129" s="862" t="str">
        <f t="shared" si="153"/>
        <v/>
      </c>
      <c r="F129" s="862" t="str">
        <f t="shared" si="154"/>
        <v/>
      </c>
      <c r="G129" s="863" t="str">
        <f t="shared" si="155"/>
        <v/>
      </c>
      <c r="H129" s="864" t="str">
        <f t="shared" ref="H129:I129" si="208">IF(H97=0,"",H97)</f>
        <v/>
      </c>
      <c r="I129" s="865" t="str">
        <f t="shared" si="208"/>
        <v/>
      </c>
      <c r="J129" s="863" t="str">
        <f t="shared" si="157"/>
        <v/>
      </c>
      <c r="K129" s="866" t="str">
        <f t="shared" ref="K129" si="209">IF(K97="","",K97)</f>
        <v/>
      </c>
      <c r="L129" s="1293"/>
      <c r="M129" s="847">
        <v>0</v>
      </c>
      <c r="N129" s="1521">
        <v>0</v>
      </c>
      <c r="O129" s="1522" t="str">
        <f t="shared" si="162"/>
        <v/>
      </c>
      <c r="P129" s="1305">
        <f t="shared" si="163"/>
        <v>0</v>
      </c>
      <c r="Q129" s="1304">
        <v>0</v>
      </c>
      <c r="R129" s="392" t="str">
        <f t="shared" si="164"/>
        <v/>
      </c>
      <c r="S129" s="392" t="str">
        <f t="shared" si="165"/>
        <v/>
      </c>
      <c r="T129" s="393">
        <f>ROUND(IF(K129="",0,+Q129/1659*(AB129*12*(1+tab!$D$111+tab!$D$112)-tab!$D$110)*tab!$D$108),-1)</f>
        <v>0</v>
      </c>
      <c r="U129" s="1321" t="str">
        <f t="shared" si="166"/>
        <v/>
      </c>
      <c r="V129" s="376"/>
      <c r="W129" s="25"/>
      <c r="AB129" s="1314" t="str">
        <f t="shared" si="159"/>
        <v/>
      </c>
      <c r="AC129" s="1374">
        <f>tab!$D$101</f>
        <v>0.53</v>
      </c>
      <c r="AD129" s="1313" t="e">
        <f t="shared" si="167"/>
        <v>#VALUE!</v>
      </c>
      <c r="AE129" s="1313" t="e">
        <f t="shared" si="168"/>
        <v>#VALUE!</v>
      </c>
      <c r="AF129" s="1313" t="e">
        <f t="shared" si="169"/>
        <v>#VALUE!</v>
      </c>
      <c r="AG129" s="14">
        <f t="shared" si="170"/>
        <v>0</v>
      </c>
      <c r="AH129" s="1315" t="str">
        <f t="shared" si="171"/>
        <v/>
      </c>
      <c r="AI129" s="14">
        <f t="shared" si="172"/>
        <v>0</v>
      </c>
      <c r="AJ129" s="1316">
        <f t="shared" si="173"/>
        <v>0.5</v>
      </c>
      <c r="AK129" s="6">
        <f t="shared" si="174"/>
        <v>0</v>
      </c>
      <c r="AL129" s="1317">
        <f t="shared" si="175"/>
        <v>0</v>
      </c>
      <c r="AT129" s="271"/>
    </row>
    <row r="130" spans="2:46" x14ac:dyDescent="0.2">
      <c r="B130" s="21"/>
      <c r="C130" s="35"/>
      <c r="D130" s="862" t="str">
        <f t="shared" si="152"/>
        <v/>
      </c>
      <c r="E130" s="862" t="str">
        <f t="shared" si="153"/>
        <v/>
      </c>
      <c r="F130" s="862" t="str">
        <f t="shared" si="154"/>
        <v/>
      </c>
      <c r="G130" s="863" t="str">
        <f t="shared" si="155"/>
        <v/>
      </c>
      <c r="H130" s="864" t="str">
        <f t="shared" ref="H130:I130" si="210">IF(H98=0,"",H98)</f>
        <v/>
      </c>
      <c r="I130" s="865" t="str">
        <f t="shared" si="210"/>
        <v/>
      </c>
      <c r="J130" s="863" t="str">
        <f t="shared" si="157"/>
        <v/>
      </c>
      <c r="K130" s="866" t="str">
        <f t="shared" ref="K130" si="211">IF(K98="","",K98)</f>
        <v/>
      </c>
      <c r="L130" s="1293"/>
      <c r="M130" s="847">
        <v>0</v>
      </c>
      <c r="N130" s="1521">
        <v>0</v>
      </c>
      <c r="O130" s="1522" t="str">
        <f t="shared" si="162"/>
        <v/>
      </c>
      <c r="P130" s="1305">
        <f t="shared" si="163"/>
        <v>0</v>
      </c>
      <c r="Q130" s="1304">
        <v>0</v>
      </c>
      <c r="R130" s="392" t="str">
        <f t="shared" si="164"/>
        <v/>
      </c>
      <c r="S130" s="392" t="str">
        <f t="shared" si="165"/>
        <v/>
      </c>
      <c r="T130" s="393">
        <f>ROUND(IF(K130="",0,+Q130/1659*(AB130*12*(1+tab!$D$111+tab!$D$112)-tab!$D$110)*tab!$D$108),-1)</f>
        <v>0</v>
      </c>
      <c r="U130" s="1321" t="str">
        <f t="shared" si="166"/>
        <v/>
      </c>
      <c r="V130" s="376"/>
      <c r="W130" s="25"/>
      <c r="AB130" s="1314" t="str">
        <f t="shared" si="159"/>
        <v/>
      </c>
      <c r="AC130" s="1374">
        <f>tab!$D$101</f>
        <v>0.53</v>
      </c>
      <c r="AD130" s="1313" t="e">
        <f t="shared" si="167"/>
        <v>#VALUE!</v>
      </c>
      <c r="AE130" s="1313" t="e">
        <f t="shared" si="168"/>
        <v>#VALUE!</v>
      </c>
      <c r="AF130" s="1313" t="e">
        <f t="shared" si="169"/>
        <v>#VALUE!</v>
      </c>
      <c r="AG130" s="14">
        <f t="shared" si="170"/>
        <v>0</v>
      </c>
      <c r="AH130" s="1315" t="str">
        <f t="shared" si="171"/>
        <v/>
      </c>
      <c r="AI130" s="14">
        <f t="shared" si="172"/>
        <v>0</v>
      </c>
      <c r="AJ130" s="1316">
        <f t="shared" si="173"/>
        <v>0.5</v>
      </c>
      <c r="AK130" s="6">
        <f t="shared" si="174"/>
        <v>0</v>
      </c>
      <c r="AL130" s="1317">
        <f t="shared" si="175"/>
        <v>0</v>
      </c>
      <c r="AT130" s="271"/>
    </row>
    <row r="131" spans="2:46" x14ac:dyDescent="0.2">
      <c r="B131" s="21"/>
      <c r="C131" s="35"/>
      <c r="D131" s="377"/>
      <c r="E131" s="377"/>
      <c r="F131" s="377"/>
      <c r="G131" s="192"/>
      <c r="H131" s="378"/>
      <c r="I131" s="192"/>
      <c r="J131" s="379"/>
      <c r="K131" s="394">
        <f>SUM(K111:K130)</f>
        <v>0</v>
      </c>
      <c r="L131" s="1284"/>
      <c r="M131" s="1303">
        <f>SUM(M111:M130)</f>
        <v>0</v>
      </c>
      <c r="N131" s="1303">
        <f t="shared" ref="N131" si="212">SUM(N111:N130)</f>
        <v>0</v>
      </c>
      <c r="O131" s="1303">
        <f t="shared" ref="O131" si="213">SUM(O111:O130)</f>
        <v>0</v>
      </c>
      <c r="P131" s="1303">
        <f t="shared" ref="P131" si="214">SUM(P111:P130)</f>
        <v>0</v>
      </c>
      <c r="Q131" s="1303">
        <f t="shared" ref="Q131" si="215">SUM(Q111:Q130)</f>
        <v>0</v>
      </c>
      <c r="R131" s="1319">
        <f t="shared" ref="R131" si="216">SUM(R111:R130)</f>
        <v>0</v>
      </c>
      <c r="S131" s="1319">
        <f t="shared" ref="S131" si="217">SUM(S111:S130)</f>
        <v>0</v>
      </c>
      <c r="T131" s="1319">
        <f t="shared" ref="T131" si="218">SUM(T111:T130)</f>
        <v>0</v>
      </c>
      <c r="U131" s="1320">
        <f t="shared" ref="U131" si="219">SUM(U111:U130)</f>
        <v>0</v>
      </c>
      <c r="V131" s="361"/>
      <c r="W131" s="25"/>
      <c r="AB131" s="1314">
        <f>SUM(AB111:AB130)</f>
        <v>0</v>
      </c>
      <c r="AL131" s="1317">
        <f>SUM(AL111:AL130)</f>
        <v>0</v>
      </c>
      <c r="AT131" s="271"/>
    </row>
    <row r="132" spans="2:46" x14ac:dyDescent="0.2">
      <c r="B132" s="21"/>
      <c r="C132" s="35"/>
      <c r="D132" s="187"/>
      <c r="E132" s="187"/>
      <c r="F132" s="187"/>
      <c r="G132" s="186"/>
      <c r="H132" s="193"/>
      <c r="I132" s="186"/>
      <c r="J132" s="361"/>
      <c r="K132" s="362"/>
      <c r="L132" s="1290"/>
      <c r="M132" s="362"/>
      <c r="N132" s="361"/>
      <c r="O132" s="361"/>
      <c r="P132" s="380"/>
      <c r="Q132" s="380"/>
      <c r="R132" s="380"/>
      <c r="S132" s="380"/>
      <c r="T132" s="365"/>
      <c r="U132" s="381"/>
      <c r="V132" s="361"/>
      <c r="W132" s="25"/>
    </row>
    <row r="133" spans="2:46" ht="12.75" customHeight="1" x14ac:dyDescent="0.2">
      <c r="B133" s="183"/>
      <c r="C133" s="163"/>
      <c r="D133" s="352"/>
      <c r="E133" s="352"/>
      <c r="F133" s="352"/>
      <c r="G133" s="184"/>
      <c r="H133" s="353"/>
      <c r="I133" s="184"/>
      <c r="J133" s="354"/>
      <c r="K133" s="355"/>
      <c r="L133" s="1287"/>
      <c r="M133" s="356"/>
      <c r="N133" s="163"/>
      <c r="O133" s="357"/>
      <c r="P133" s="358"/>
      <c r="Q133" s="358"/>
      <c r="R133" s="358"/>
      <c r="S133" s="358"/>
      <c r="T133" s="359"/>
      <c r="U133" s="360"/>
      <c r="V133" s="163"/>
      <c r="W133" s="185"/>
      <c r="AT133" s="7"/>
    </row>
    <row r="134" spans="2:46" ht="12.75" customHeight="1" x14ac:dyDescent="0.2">
      <c r="I134" s="166"/>
      <c r="K134" s="272"/>
      <c r="L134" s="1285"/>
      <c r="M134" s="226"/>
      <c r="O134" s="273"/>
      <c r="P134" s="269"/>
      <c r="Q134" s="269"/>
      <c r="R134" s="269"/>
      <c r="S134" s="269"/>
      <c r="T134" s="274"/>
      <c r="U134" s="275"/>
    </row>
    <row r="135" spans="2:46" ht="12.75" customHeight="1" x14ac:dyDescent="0.2">
      <c r="C135" s="6" t="s">
        <v>145</v>
      </c>
      <c r="E135" s="256" t="str">
        <f>tab!H2</f>
        <v>2018/19</v>
      </c>
      <c r="I135" s="166"/>
      <c r="K135" s="272"/>
      <c r="L135" s="1285"/>
      <c r="M135" s="226"/>
      <c r="O135" s="273"/>
      <c r="P135" s="269"/>
      <c r="Q135" s="269"/>
      <c r="R135" s="269"/>
      <c r="S135" s="269"/>
      <c r="T135" s="274"/>
      <c r="U135" s="275"/>
    </row>
    <row r="136" spans="2:46" ht="12.75" customHeight="1" x14ac:dyDescent="0.2">
      <c r="C136" s="6" t="s">
        <v>146</v>
      </c>
      <c r="E136" s="256">
        <f>tab!I3</f>
        <v>43374</v>
      </c>
      <c r="I136" s="166"/>
      <c r="K136" s="272"/>
      <c r="L136" s="1285"/>
      <c r="M136" s="226"/>
      <c r="O136" s="273"/>
      <c r="P136" s="269"/>
      <c r="Q136" s="269"/>
      <c r="R136" s="269"/>
      <c r="S136" s="269"/>
      <c r="T136" s="274"/>
      <c r="U136" s="275"/>
      <c r="W136" s="952"/>
    </row>
    <row r="137" spans="2:46" ht="12.75" customHeight="1" x14ac:dyDescent="0.2">
      <c r="I137" s="166"/>
      <c r="K137" s="272"/>
      <c r="L137" s="1285"/>
      <c r="M137" s="226"/>
      <c r="O137" s="273"/>
      <c r="P137" s="269"/>
      <c r="Q137" s="269"/>
      <c r="R137" s="269"/>
      <c r="S137" s="269"/>
      <c r="T137" s="274"/>
      <c r="U137" s="275"/>
      <c r="W137" s="952"/>
    </row>
    <row r="138" spans="2:46" ht="12.75" customHeight="1" x14ac:dyDescent="0.2">
      <c r="C138" s="35"/>
      <c r="D138" s="187"/>
      <c r="E138" s="93"/>
      <c r="F138" s="187"/>
      <c r="G138" s="186"/>
      <c r="H138" s="193"/>
      <c r="I138" s="361"/>
      <c r="J138" s="361"/>
      <c r="K138" s="362"/>
      <c r="L138" s="1290"/>
      <c r="M138" s="363"/>
      <c r="N138" s="35"/>
      <c r="O138" s="364"/>
      <c r="P138" s="35"/>
      <c r="Q138" s="35"/>
      <c r="R138" s="35"/>
      <c r="S138" s="35"/>
      <c r="T138" s="365"/>
      <c r="U138" s="366"/>
      <c r="V138" s="35"/>
      <c r="W138" s="952"/>
      <c r="X138" s="952"/>
      <c r="AC138" s="1306"/>
      <c r="AD138" s="1307"/>
      <c r="AE138" s="1306"/>
      <c r="AF138" s="1306"/>
      <c r="AG138" s="1306"/>
      <c r="AH138" s="1308"/>
      <c r="AI138" s="1309"/>
      <c r="AJ138" s="1310"/>
      <c r="AK138" s="1311"/>
      <c r="AL138" s="1312"/>
      <c r="AM138" s="259"/>
    </row>
    <row r="139" spans="2:46" s="399" customFormat="1" ht="12.75" customHeight="1" x14ac:dyDescent="0.2">
      <c r="C139" s="1281"/>
      <c r="D139" s="1277" t="s">
        <v>147</v>
      </c>
      <c r="E139" s="1278"/>
      <c r="F139" s="1278"/>
      <c r="G139" s="1278"/>
      <c r="H139" s="1278"/>
      <c r="I139" s="1278"/>
      <c r="J139" s="1278"/>
      <c r="K139" s="1278"/>
      <c r="L139" s="1286"/>
      <c r="M139" s="1327" t="s">
        <v>817</v>
      </c>
      <c r="N139" s="1328"/>
      <c r="O139" s="1329"/>
      <c r="P139" s="1329"/>
      <c r="Q139" s="1328"/>
      <c r="R139" s="1330" t="s">
        <v>818</v>
      </c>
      <c r="S139" s="1331"/>
      <c r="T139" s="1331"/>
      <c r="U139" s="1331"/>
      <c r="V139" s="1332"/>
      <c r="W139" s="1375"/>
      <c r="X139" s="1334"/>
      <c r="Y139" s="1335"/>
      <c r="Z139" s="1336"/>
      <c r="AA139" s="1336"/>
      <c r="AB139" s="1337"/>
      <c r="AC139" s="1338"/>
      <c r="AD139" s="1339"/>
      <c r="AE139" s="1338"/>
      <c r="AF139" s="1340"/>
      <c r="AG139" s="1340"/>
      <c r="AH139" s="1341"/>
      <c r="AI139" s="1342"/>
      <c r="AJ139" s="1341"/>
      <c r="AK139" s="1343"/>
      <c r="AL139" s="1343"/>
      <c r="AN139" s="268"/>
      <c r="AO139" s="268"/>
    </row>
    <row r="140" spans="2:46" ht="12.75" customHeight="1" x14ac:dyDescent="0.2">
      <c r="C140" s="367"/>
      <c r="D140" s="383" t="s">
        <v>148</v>
      </c>
      <c r="E140" s="383" t="s">
        <v>149</v>
      </c>
      <c r="F140" s="383" t="s">
        <v>150</v>
      </c>
      <c r="G140" s="384" t="s">
        <v>151</v>
      </c>
      <c r="H140" s="385" t="s">
        <v>152</v>
      </c>
      <c r="I140" s="384" t="s">
        <v>115</v>
      </c>
      <c r="J140" s="384" t="s">
        <v>153</v>
      </c>
      <c r="K140" s="386" t="s">
        <v>154</v>
      </c>
      <c r="L140" s="1291"/>
      <c r="M140" s="1354" t="s">
        <v>819</v>
      </c>
      <c r="N140" s="1355" t="s">
        <v>820</v>
      </c>
      <c r="O140" s="1356" t="s">
        <v>821</v>
      </c>
      <c r="P140" s="1357" t="s">
        <v>822</v>
      </c>
      <c r="Q140" s="1355" t="s">
        <v>823</v>
      </c>
      <c r="R140" s="1356" t="s">
        <v>155</v>
      </c>
      <c r="S140" s="1354" t="s">
        <v>824</v>
      </c>
      <c r="T140" s="1354" t="s">
        <v>825</v>
      </c>
      <c r="U140" s="1354" t="s">
        <v>155</v>
      </c>
      <c r="V140" s="1358"/>
      <c r="W140" s="1376"/>
      <c r="X140" s="1360"/>
      <c r="Y140" s="1361"/>
      <c r="Z140" s="1362"/>
      <c r="AA140" s="1362"/>
      <c r="AB140" s="1371" t="s">
        <v>290</v>
      </c>
      <c r="AC140" s="1372" t="s">
        <v>826</v>
      </c>
      <c r="AD140" s="1373" t="s">
        <v>827</v>
      </c>
      <c r="AE140" s="1373" t="s">
        <v>827</v>
      </c>
      <c r="AF140" s="1373" t="s">
        <v>828</v>
      </c>
      <c r="AG140" s="1373" t="s">
        <v>823</v>
      </c>
      <c r="AH140" s="1373" t="s">
        <v>829</v>
      </c>
      <c r="AI140" s="1373" t="s">
        <v>830</v>
      </c>
      <c r="AJ140" s="1373" t="s">
        <v>831</v>
      </c>
      <c r="AK140" s="1373" t="s">
        <v>157</v>
      </c>
      <c r="AL140" s="1165" t="s">
        <v>303</v>
      </c>
      <c r="AM140" s="6"/>
      <c r="AN140" s="268"/>
      <c r="AO140" s="267"/>
    </row>
    <row r="141" spans="2:46" ht="12.75" customHeight="1" x14ac:dyDescent="0.2">
      <c r="C141" s="367"/>
      <c r="D141" s="388"/>
      <c r="E141" s="383"/>
      <c r="F141" s="389"/>
      <c r="G141" s="384" t="s">
        <v>159</v>
      </c>
      <c r="H141" s="385" t="s">
        <v>160</v>
      </c>
      <c r="I141" s="384"/>
      <c r="J141" s="384"/>
      <c r="K141" s="386"/>
      <c r="L141" s="1291"/>
      <c r="M141" s="1367" t="s">
        <v>832</v>
      </c>
      <c r="N141" s="1355" t="s">
        <v>833</v>
      </c>
      <c r="O141" s="1356" t="s">
        <v>834</v>
      </c>
      <c r="P141" s="1357" t="s">
        <v>95</v>
      </c>
      <c r="Q141" s="1355" t="s">
        <v>835</v>
      </c>
      <c r="R141" s="1356" t="s">
        <v>836</v>
      </c>
      <c r="S141" s="1368" t="s">
        <v>837</v>
      </c>
      <c r="T141" s="1368" t="s">
        <v>838</v>
      </c>
      <c r="U141" s="1354" t="s">
        <v>95</v>
      </c>
      <c r="V141" s="1358"/>
      <c r="W141" s="1376"/>
      <c r="X141" s="1360"/>
      <c r="Y141" s="1369"/>
      <c r="Z141" s="1362"/>
      <c r="AA141" s="1362"/>
      <c r="AB141" s="1373" t="s">
        <v>839</v>
      </c>
      <c r="AC141" s="1374">
        <f>tab!$D$101</f>
        <v>0.53</v>
      </c>
      <c r="AD141" s="1373" t="s">
        <v>840</v>
      </c>
      <c r="AE141" s="1373" t="s">
        <v>841</v>
      </c>
      <c r="AF141" s="1373" t="s">
        <v>842</v>
      </c>
      <c r="AG141" s="1373" t="s">
        <v>835</v>
      </c>
      <c r="AH141" s="1373" t="s">
        <v>843</v>
      </c>
      <c r="AI141" s="1373" t="s">
        <v>843</v>
      </c>
      <c r="AJ141" s="1373" t="s">
        <v>844</v>
      </c>
      <c r="AK141" s="1373"/>
      <c r="AL141" s="1373" t="s">
        <v>156</v>
      </c>
      <c r="AM141" s="6"/>
      <c r="AO141" s="269"/>
    </row>
    <row r="142" spans="2:46" ht="12.75" customHeight="1" x14ac:dyDescent="0.2">
      <c r="C142" s="35"/>
      <c r="D142" s="187"/>
      <c r="E142" s="187"/>
      <c r="F142" s="187"/>
      <c r="G142" s="186"/>
      <c r="H142" s="193"/>
      <c r="I142" s="368"/>
      <c r="J142" s="368"/>
      <c r="K142" s="369"/>
      <c r="L142" s="1292"/>
      <c r="M142" s="369"/>
      <c r="N142" s="370"/>
      <c r="O142" s="371"/>
      <c r="P142" s="372"/>
      <c r="Q142" s="372"/>
      <c r="R142" s="372"/>
      <c r="S142" s="372"/>
      <c r="T142" s="373"/>
      <c r="U142" s="374"/>
      <c r="V142" s="370"/>
      <c r="W142" s="952"/>
      <c r="AC142" s="6"/>
      <c r="AD142" s="6"/>
      <c r="AL142" s="6"/>
      <c r="AM142" s="6"/>
      <c r="AO142" s="269"/>
    </row>
    <row r="143" spans="2:46" ht="12.75" customHeight="1" x14ac:dyDescent="0.2">
      <c r="C143" s="35"/>
      <c r="D143" s="862" t="str">
        <f t="shared" ref="D143:F162" si="220">IF(D111=0,"",D111)</f>
        <v/>
      </c>
      <c r="E143" s="862" t="str">
        <f t="shared" si="220"/>
        <v/>
      </c>
      <c r="F143" s="862" t="str">
        <f t="shared" si="220"/>
        <v/>
      </c>
      <c r="G143" s="863" t="str">
        <f t="shared" ref="G143:G162" si="221">IF(G111="","",G111+1)</f>
        <v/>
      </c>
      <c r="H143" s="864" t="str">
        <f t="shared" ref="H143:I162" si="222">IF(H111=0,"",H111)</f>
        <v/>
      </c>
      <c r="I143" s="865" t="str">
        <f t="shared" si="222"/>
        <v/>
      </c>
      <c r="J143" s="863" t="str">
        <f t="shared" ref="J143:J162" si="223">IF(E143="","",IF(J111&lt;VLOOKUP(I143,tabelsalaris2015VO,19,FALSE),J111+1,J111))</f>
        <v/>
      </c>
      <c r="K143" s="866" t="str">
        <f t="shared" ref="K143:K162" si="224">IF(K111="","",K111)</f>
        <v/>
      </c>
      <c r="L143" s="1293"/>
      <c r="M143" s="847">
        <v>0</v>
      </c>
      <c r="N143" s="1521">
        <v>0</v>
      </c>
      <c r="O143" s="1522" t="str">
        <f>IF(K143="","",K143*50)</f>
        <v/>
      </c>
      <c r="P143" s="1305">
        <f>SUM(M143:O143)</f>
        <v>0</v>
      </c>
      <c r="Q143" s="1304">
        <v>0</v>
      </c>
      <c r="R143" s="392" t="str">
        <f>IF(K143="","",(1659*K143-P143)*AE143)</f>
        <v/>
      </c>
      <c r="S143" s="392" t="str">
        <f>IF(K143="","",P143*AF143+AD143*(AH143+AI143*(1-AJ143)))</f>
        <v/>
      </c>
      <c r="T143" s="393">
        <f>ROUND(IF(K143="",0,+Q143/1659*(AB143*12*(1+tab!$D$111+tab!$D$112)-tab!$D$110)*tab!$D$108),-1)</f>
        <v>0</v>
      </c>
      <c r="U143" s="1321" t="str">
        <f>IF(K143="","",IF(E143=0,0,(R143+S143+T143)))</f>
        <v/>
      </c>
      <c r="V143" s="376"/>
      <c r="W143" s="952"/>
      <c r="AB143" s="1314" t="str">
        <f t="shared" ref="AB143:AB162" si="225">IF(I143="","",VLOOKUP(I143,tabelsalaris2016VO,J143+2,FALSE)*5/12+VLOOKUP(I143,tabelsalaris2016VO,J143+2,FALSE)*7/12)</f>
        <v/>
      </c>
      <c r="AC143" s="1374">
        <f>tab!$D$101</f>
        <v>0.53</v>
      </c>
      <c r="AD143" s="1313" t="e">
        <f>AB143*12/1659</f>
        <v>#VALUE!</v>
      </c>
      <c r="AE143" s="1313" t="e">
        <f>AB143*12*(1+AC143)/1659</f>
        <v>#VALUE!</v>
      </c>
      <c r="AF143" s="1313" t="e">
        <f>+AE143-AD143</f>
        <v>#VALUE!</v>
      </c>
      <c r="AG143" s="14">
        <f>Q143</f>
        <v>0</v>
      </c>
      <c r="AH143" s="1315" t="str">
        <f>O143</f>
        <v/>
      </c>
      <c r="AI143" s="14">
        <f>(M143+N143)</f>
        <v>0</v>
      </c>
      <c r="AJ143" s="1316">
        <f>IF(I143&gt;8,50%,40%)</f>
        <v>0.5</v>
      </c>
      <c r="AK143" s="6">
        <f>IF(G143&lt;25,0,IF(G143=25,25,IF(G143&lt;40,0,IF(G143=40,40,IF(G143&gt;=40,0)))))</f>
        <v>0</v>
      </c>
      <c r="AL143" s="1317">
        <f>IF(AK143=25,AB143*1.08*K143/2,IF(AK143=40,AB143*1.08*K143,0))</f>
        <v>0</v>
      </c>
    </row>
    <row r="144" spans="2:46" ht="12.75" customHeight="1" x14ac:dyDescent="0.2">
      <c r="C144" s="35"/>
      <c r="D144" s="862" t="str">
        <f t="shared" si="220"/>
        <v/>
      </c>
      <c r="E144" s="862" t="str">
        <f t="shared" si="220"/>
        <v/>
      </c>
      <c r="F144" s="862" t="str">
        <f t="shared" si="220"/>
        <v/>
      </c>
      <c r="G144" s="863" t="str">
        <f t="shared" si="221"/>
        <v/>
      </c>
      <c r="H144" s="864" t="str">
        <f t="shared" si="222"/>
        <v/>
      </c>
      <c r="I144" s="865" t="str">
        <f t="shared" si="222"/>
        <v/>
      </c>
      <c r="J144" s="863" t="str">
        <f t="shared" si="223"/>
        <v/>
      </c>
      <c r="K144" s="866" t="str">
        <f t="shared" si="224"/>
        <v/>
      </c>
      <c r="L144" s="1293"/>
      <c r="M144" s="847">
        <v>0</v>
      </c>
      <c r="N144" s="1521">
        <v>0</v>
      </c>
      <c r="O144" s="1522" t="str">
        <f t="shared" ref="O144:O162" si="226">IF(K144="","",K144*50)</f>
        <v/>
      </c>
      <c r="P144" s="1305">
        <f t="shared" ref="P144:P162" si="227">SUM(M144:O144)</f>
        <v>0</v>
      </c>
      <c r="Q144" s="1304">
        <v>0</v>
      </c>
      <c r="R144" s="392" t="str">
        <f t="shared" ref="R144:R162" si="228">IF(K144="","",(1659*K144-P144)*AE144)</f>
        <v/>
      </c>
      <c r="S144" s="392" t="str">
        <f t="shared" ref="S144:S162" si="229">IF(K144="","",P144*AF144+AD144*(AH144+AI144*(1-AJ144)))</f>
        <v/>
      </c>
      <c r="T144" s="393">
        <f>ROUND(IF(K144="",0,+Q144/1659*(AB144*12*(1+tab!$D$111+tab!$D$112)-tab!$D$110)*tab!$D$108),-1)</f>
        <v>0</v>
      </c>
      <c r="U144" s="1321" t="str">
        <f t="shared" ref="U144:U162" si="230">IF(K144="","",IF(E144=0,0,(R144+S144+T144)))</f>
        <v/>
      </c>
      <c r="V144" s="376"/>
      <c r="W144" s="952"/>
      <c r="AB144" s="1314" t="str">
        <f t="shared" si="225"/>
        <v/>
      </c>
      <c r="AC144" s="1374">
        <f>tab!$D$101</f>
        <v>0.53</v>
      </c>
      <c r="AD144" s="1313" t="e">
        <f t="shared" ref="AD144:AD162" si="231">AB144*12/1659</f>
        <v>#VALUE!</v>
      </c>
      <c r="AE144" s="1313" t="e">
        <f t="shared" ref="AE144:AE162" si="232">AB144*12*(1+AC144)/1659</f>
        <v>#VALUE!</v>
      </c>
      <c r="AF144" s="1313" t="e">
        <f t="shared" ref="AF144:AF162" si="233">+AE144-AD144</f>
        <v>#VALUE!</v>
      </c>
      <c r="AG144" s="14">
        <f t="shared" ref="AG144:AG162" si="234">Q144</f>
        <v>0</v>
      </c>
      <c r="AH144" s="1315" t="str">
        <f t="shared" ref="AH144:AH162" si="235">O144</f>
        <v/>
      </c>
      <c r="AI144" s="14">
        <f t="shared" ref="AI144:AI162" si="236">(M144+N144)</f>
        <v>0</v>
      </c>
      <c r="AJ144" s="1316">
        <f t="shared" ref="AJ144:AJ162" si="237">IF(I144&gt;8,50%,40%)</f>
        <v>0.5</v>
      </c>
      <c r="AK144" s="6">
        <f t="shared" ref="AK144:AK162" si="238">IF(G144&lt;25,0,IF(G144=25,25,IF(G144&lt;40,0,IF(G144=40,40,IF(G144&gt;=40,0)))))</f>
        <v>0</v>
      </c>
      <c r="AL144" s="1317">
        <f t="shared" ref="AL144:AL162" si="239">IF(AK144=25,AB144*1.08*K144/2,IF(AK144=40,AB144*1.08*K144,0))</f>
        <v>0</v>
      </c>
    </row>
    <row r="145" spans="3:38" ht="12.75" customHeight="1" x14ac:dyDescent="0.2">
      <c r="C145" s="35"/>
      <c r="D145" s="862" t="str">
        <f t="shared" si="220"/>
        <v/>
      </c>
      <c r="E145" s="867" t="str">
        <f t="shared" si="220"/>
        <v/>
      </c>
      <c r="F145" s="867" t="str">
        <f t="shared" si="220"/>
        <v/>
      </c>
      <c r="G145" s="865" t="str">
        <f t="shared" si="221"/>
        <v/>
      </c>
      <c r="H145" s="868" t="str">
        <f t="shared" si="222"/>
        <v/>
      </c>
      <c r="I145" s="865" t="str">
        <f t="shared" si="222"/>
        <v/>
      </c>
      <c r="J145" s="863" t="str">
        <f t="shared" si="223"/>
        <v/>
      </c>
      <c r="K145" s="869" t="str">
        <f t="shared" si="224"/>
        <v/>
      </c>
      <c r="L145" s="1294"/>
      <c r="M145" s="847">
        <v>0</v>
      </c>
      <c r="N145" s="1521">
        <v>0</v>
      </c>
      <c r="O145" s="1522" t="str">
        <f t="shared" si="226"/>
        <v/>
      </c>
      <c r="P145" s="1305">
        <f t="shared" si="227"/>
        <v>0</v>
      </c>
      <c r="Q145" s="1304">
        <v>0</v>
      </c>
      <c r="R145" s="392" t="str">
        <f t="shared" si="228"/>
        <v/>
      </c>
      <c r="S145" s="392" t="str">
        <f t="shared" si="229"/>
        <v/>
      </c>
      <c r="T145" s="393">
        <f>ROUND(IF(K145="",0,+Q145/1659*(AB145*12*(1+tab!$D$111+tab!$D$112)-tab!$D$110)*tab!$D$108),-1)</f>
        <v>0</v>
      </c>
      <c r="U145" s="1321" t="str">
        <f t="shared" si="230"/>
        <v/>
      </c>
      <c r="V145" s="376"/>
      <c r="W145" s="952"/>
      <c r="AB145" s="1314" t="str">
        <f t="shared" si="225"/>
        <v/>
      </c>
      <c r="AC145" s="1374">
        <f>tab!$D$101</f>
        <v>0.53</v>
      </c>
      <c r="AD145" s="1313" t="e">
        <f t="shared" si="231"/>
        <v>#VALUE!</v>
      </c>
      <c r="AE145" s="1313" t="e">
        <f t="shared" si="232"/>
        <v>#VALUE!</v>
      </c>
      <c r="AF145" s="1313" t="e">
        <f t="shared" si="233"/>
        <v>#VALUE!</v>
      </c>
      <c r="AG145" s="14">
        <f t="shared" si="234"/>
        <v>0</v>
      </c>
      <c r="AH145" s="1315" t="str">
        <f t="shared" si="235"/>
        <v/>
      </c>
      <c r="AI145" s="14">
        <f t="shared" si="236"/>
        <v>0</v>
      </c>
      <c r="AJ145" s="1316">
        <f t="shared" si="237"/>
        <v>0.5</v>
      </c>
      <c r="AK145" s="6">
        <f t="shared" si="238"/>
        <v>0</v>
      </c>
      <c r="AL145" s="1317">
        <f t="shared" si="239"/>
        <v>0</v>
      </c>
    </row>
    <row r="146" spans="3:38" ht="12.75" customHeight="1" x14ac:dyDescent="0.2">
      <c r="C146" s="35"/>
      <c r="D146" s="862" t="str">
        <f t="shared" si="220"/>
        <v/>
      </c>
      <c r="E146" s="862" t="str">
        <f t="shared" si="220"/>
        <v/>
      </c>
      <c r="F146" s="862" t="str">
        <f t="shared" si="220"/>
        <v/>
      </c>
      <c r="G146" s="863" t="str">
        <f t="shared" si="221"/>
        <v/>
      </c>
      <c r="H146" s="864" t="str">
        <f t="shared" si="222"/>
        <v/>
      </c>
      <c r="I146" s="865" t="str">
        <f t="shared" si="222"/>
        <v/>
      </c>
      <c r="J146" s="863" t="str">
        <f t="shared" si="223"/>
        <v/>
      </c>
      <c r="K146" s="866" t="str">
        <f t="shared" si="224"/>
        <v/>
      </c>
      <c r="L146" s="1293"/>
      <c r="M146" s="847">
        <v>0</v>
      </c>
      <c r="N146" s="1521">
        <v>0</v>
      </c>
      <c r="O146" s="1522" t="str">
        <f t="shared" si="226"/>
        <v/>
      </c>
      <c r="P146" s="1305">
        <f t="shared" si="227"/>
        <v>0</v>
      </c>
      <c r="Q146" s="1304">
        <v>0</v>
      </c>
      <c r="R146" s="392" t="str">
        <f t="shared" si="228"/>
        <v/>
      </c>
      <c r="S146" s="392" t="str">
        <f t="shared" si="229"/>
        <v/>
      </c>
      <c r="T146" s="393">
        <f>ROUND(IF(K146="",0,+Q146/1659*(AB146*12*(1+tab!$D$111+tab!$D$112)-tab!$D$110)*tab!$D$108),-1)</f>
        <v>0</v>
      </c>
      <c r="U146" s="1321" t="str">
        <f t="shared" si="230"/>
        <v/>
      </c>
      <c r="V146" s="376"/>
      <c r="W146" s="952"/>
      <c r="AB146" s="1314" t="str">
        <f t="shared" si="225"/>
        <v/>
      </c>
      <c r="AC146" s="1374">
        <f>tab!$D$101</f>
        <v>0.53</v>
      </c>
      <c r="AD146" s="1313" t="e">
        <f t="shared" si="231"/>
        <v>#VALUE!</v>
      </c>
      <c r="AE146" s="1313" t="e">
        <f t="shared" si="232"/>
        <v>#VALUE!</v>
      </c>
      <c r="AF146" s="1313" t="e">
        <f t="shared" si="233"/>
        <v>#VALUE!</v>
      </c>
      <c r="AG146" s="14">
        <f t="shared" si="234"/>
        <v>0</v>
      </c>
      <c r="AH146" s="1315" t="str">
        <f t="shared" si="235"/>
        <v/>
      </c>
      <c r="AI146" s="14">
        <f t="shared" si="236"/>
        <v>0</v>
      </c>
      <c r="AJ146" s="1316">
        <f t="shared" si="237"/>
        <v>0.5</v>
      </c>
      <c r="AK146" s="6">
        <f t="shared" si="238"/>
        <v>0</v>
      </c>
      <c r="AL146" s="1317">
        <f t="shared" si="239"/>
        <v>0</v>
      </c>
    </row>
    <row r="147" spans="3:38" ht="12.75" customHeight="1" x14ac:dyDescent="0.2">
      <c r="C147" s="35"/>
      <c r="D147" s="862" t="str">
        <f t="shared" si="220"/>
        <v/>
      </c>
      <c r="E147" s="862" t="str">
        <f t="shared" si="220"/>
        <v/>
      </c>
      <c r="F147" s="862" t="str">
        <f t="shared" si="220"/>
        <v/>
      </c>
      <c r="G147" s="863" t="str">
        <f t="shared" si="221"/>
        <v/>
      </c>
      <c r="H147" s="864" t="str">
        <f t="shared" si="222"/>
        <v/>
      </c>
      <c r="I147" s="865" t="str">
        <f t="shared" si="222"/>
        <v/>
      </c>
      <c r="J147" s="863" t="str">
        <f t="shared" si="223"/>
        <v/>
      </c>
      <c r="K147" s="866" t="str">
        <f t="shared" si="224"/>
        <v/>
      </c>
      <c r="L147" s="1293"/>
      <c r="M147" s="847">
        <v>0</v>
      </c>
      <c r="N147" s="1521">
        <v>0</v>
      </c>
      <c r="O147" s="1522" t="str">
        <f t="shared" si="226"/>
        <v/>
      </c>
      <c r="P147" s="1305">
        <f t="shared" si="227"/>
        <v>0</v>
      </c>
      <c r="Q147" s="1304">
        <v>0</v>
      </c>
      <c r="R147" s="392" t="str">
        <f t="shared" si="228"/>
        <v/>
      </c>
      <c r="S147" s="392" t="str">
        <f t="shared" si="229"/>
        <v/>
      </c>
      <c r="T147" s="393">
        <f>ROUND(IF(K147="",0,+Q147/1659*(AB147*12*(1+tab!$D$111+tab!$D$112)-tab!$D$110)*tab!$D$108),-1)</f>
        <v>0</v>
      </c>
      <c r="U147" s="1321" t="str">
        <f t="shared" si="230"/>
        <v/>
      </c>
      <c r="V147" s="376"/>
      <c r="W147" s="952"/>
      <c r="AB147" s="1314" t="str">
        <f t="shared" si="225"/>
        <v/>
      </c>
      <c r="AC147" s="1374">
        <f>tab!$D$101</f>
        <v>0.53</v>
      </c>
      <c r="AD147" s="1313" t="e">
        <f t="shared" si="231"/>
        <v>#VALUE!</v>
      </c>
      <c r="AE147" s="1313" t="e">
        <f t="shared" si="232"/>
        <v>#VALUE!</v>
      </c>
      <c r="AF147" s="1313" t="e">
        <f t="shared" si="233"/>
        <v>#VALUE!</v>
      </c>
      <c r="AG147" s="14">
        <f t="shared" si="234"/>
        <v>0</v>
      </c>
      <c r="AH147" s="1315" t="str">
        <f t="shared" si="235"/>
        <v/>
      </c>
      <c r="AI147" s="14">
        <f t="shared" si="236"/>
        <v>0</v>
      </c>
      <c r="AJ147" s="1316">
        <f t="shared" si="237"/>
        <v>0.5</v>
      </c>
      <c r="AK147" s="6">
        <f t="shared" si="238"/>
        <v>0</v>
      </c>
      <c r="AL147" s="1317">
        <f t="shared" si="239"/>
        <v>0</v>
      </c>
    </row>
    <row r="148" spans="3:38" ht="12.75" customHeight="1" x14ac:dyDescent="0.2">
      <c r="C148" s="35"/>
      <c r="D148" s="862" t="str">
        <f t="shared" si="220"/>
        <v/>
      </c>
      <c r="E148" s="862" t="str">
        <f t="shared" si="220"/>
        <v/>
      </c>
      <c r="F148" s="862" t="str">
        <f t="shared" si="220"/>
        <v/>
      </c>
      <c r="G148" s="863" t="str">
        <f t="shared" si="221"/>
        <v/>
      </c>
      <c r="H148" s="864" t="str">
        <f t="shared" si="222"/>
        <v/>
      </c>
      <c r="I148" s="865" t="str">
        <f t="shared" si="222"/>
        <v/>
      </c>
      <c r="J148" s="863" t="str">
        <f t="shared" si="223"/>
        <v/>
      </c>
      <c r="K148" s="866" t="str">
        <f t="shared" si="224"/>
        <v/>
      </c>
      <c r="L148" s="1293"/>
      <c r="M148" s="847">
        <v>0</v>
      </c>
      <c r="N148" s="1521">
        <v>0</v>
      </c>
      <c r="O148" s="1522" t="str">
        <f t="shared" si="226"/>
        <v/>
      </c>
      <c r="P148" s="1305">
        <f t="shared" si="227"/>
        <v>0</v>
      </c>
      <c r="Q148" s="1304">
        <v>0</v>
      </c>
      <c r="R148" s="392" t="str">
        <f t="shared" si="228"/>
        <v/>
      </c>
      <c r="S148" s="392" t="str">
        <f t="shared" si="229"/>
        <v/>
      </c>
      <c r="T148" s="393">
        <f>ROUND(IF(K148="",0,+Q148/1659*(AB148*12*(1+tab!$D$111+tab!$D$112)-tab!$D$110)*tab!$D$108),-1)</f>
        <v>0</v>
      </c>
      <c r="U148" s="1321" t="str">
        <f t="shared" si="230"/>
        <v/>
      </c>
      <c r="V148" s="376"/>
      <c r="W148" s="952"/>
      <c r="AB148" s="1314" t="str">
        <f t="shared" si="225"/>
        <v/>
      </c>
      <c r="AC148" s="1374">
        <f>tab!$D$101</f>
        <v>0.53</v>
      </c>
      <c r="AD148" s="1313" t="e">
        <f t="shared" si="231"/>
        <v>#VALUE!</v>
      </c>
      <c r="AE148" s="1313" t="e">
        <f t="shared" si="232"/>
        <v>#VALUE!</v>
      </c>
      <c r="AF148" s="1313" t="e">
        <f t="shared" si="233"/>
        <v>#VALUE!</v>
      </c>
      <c r="AG148" s="14">
        <f t="shared" si="234"/>
        <v>0</v>
      </c>
      <c r="AH148" s="1315" t="str">
        <f t="shared" si="235"/>
        <v/>
      </c>
      <c r="AI148" s="14">
        <f t="shared" si="236"/>
        <v>0</v>
      </c>
      <c r="AJ148" s="1316">
        <f t="shared" si="237"/>
        <v>0.5</v>
      </c>
      <c r="AK148" s="6">
        <f t="shared" si="238"/>
        <v>0</v>
      </c>
      <c r="AL148" s="1317">
        <f t="shared" si="239"/>
        <v>0</v>
      </c>
    </row>
    <row r="149" spans="3:38" ht="12.75" customHeight="1" x14ac:dyDescent="0.2">
      <c r="C149" s="35"/>
      <c r="D149" s="862" t="str">
        <f t="shared" si="220"/>
        <v/>
      </c>
      <c r="E149" s="862" t="str">
        <f t="shared" si="220"/>
        <v/>
      </c>
      <c r="F149" s="862" t="str">
        <f t="shared" si="220"/>
        <v/>
      </c>
      <c r="G149" s="863" t="str">
        <f t="shared" si="221"/>
        <v/>
      </c>
      <c r="H149" s="864" t="str">
        <f t="shared" si="222"/>
        <v/>
      </c>
      <c r="I149" s="865" t="str">
        <f t="shared" si="222"/>
        <v/>
      </c>
      <c r="J149" s="863" t="str">
        <f t="shared" si="223"/>
        <v/>
      </c>
      <c r="K149" s="866" t="str">
        <f t="shared" si="224"/>
        <v/>
      </c>
      <c r="L149" s="1293"/>
      <c r="M149" s="847">
        <v>0</v>
      </c>
      <c r="N149" s="1521">
        <v>0</v>
      </c>
      <c r="O149" s="1522" t="str">
        <f t="shared" si="226"/>
        <v/>
      </c>
      <c r="P149" s="1305">
        <f t="shared" si="227"/>
        <v>0</v>
      </c>
      <c r="Q149" s="1304">
        <v>0</v>
      </c>
      <c r="R149" s="392" t="str">
        <f t="shared" si="228"/>
        <v/>
      </c>
      <c r="S149" s="392" t="str">
        <f t="shared" si="229"/>
        <v/>
      </c>
      <c r="T149" s="393">
        <f>ROUND(IF(K149="",0,+Q149/1659*(AB149*12*(1+tab!$D$111+tab!$D$112)-tab!$D$110)*tab!$D$108),-1)</f>
        <v>0</v>
      </c>
      <c r="U149" s="1321" t="str">
        <f t="shared" si="230"/>
        <v/>
      </c>
      <c r="V149" s="376"/>
      <c r="W149" s="952"/>
      <c r="AB149" s="1314" t="str">
        <f t="shared" si="225"/>
        <v/>
      </c>
      <c r="AC149" s="1374">
        <f>tab!$D$101</f>
        <v>0.53</v>
      </c>
      <c r="AD149" s="1313" t="e">
        <f t="shared" si="231"/>
        <v>#VALUE!</v>
      </c>
      <c r="AE149" s="1313" t="e">
        <f t="shared" si="232"/>
        <v>#VALUE!</v>
      </c>
      <c r="AF149" s="1313" t="e">
        <f t="shared" si="233"/>
        <v>#VALUE!</v>
      </c>
      <c r="AG149" s="14">
        <f t="shared" si="234"/>
        <v>0</v>
      </c>
      <c r="AH149" s="1315" t="str">
        <f t="shared" si="235"/>
        <v/>
      </c>
      <c r="AI149" s="14">
        <f t="shared" si="236"/>
        <v>0</v>
      </c>
      <c r="AJ149" s="1316">
        <f t="shared" si="237"/>
        <v>0.5</v>
      </c>
      <c r="AK149" s="6">
        <f t="shared" si="238"/>
        <v>0</v>
      </c>
      <c r="AL149" s="1317">
        <f t="shared" si="239"/>
        <v>0</v>
      </c>
    </row>
    <row r="150" spans="3:38" ht="12.75" customHeight="1" x14ac:dyDescent="0.2">
      <c r="C150" s="35"/>
      <c r="D150" s="862" t="str">
        <f t="shared" si="220"/>
        <v/>
      </c>
      <c r="E150" s="862" t="str">
        <f t="shared" si="220"/>
        <v/>
      </c>
      <c r="F150" s="862" t="str">
        <f t="shared" si="220"/>
        <v/>
      </c>
      <c r="G150" s="863" t="str">
        <f t="shared" si="221"/>
        <v/>
      </c>
      <c r="H150" s="864" t="str">
        <f t="shared" si="222"/>
        <v/>
      </c>
      <c r="I150" s="865" t="str">
        <f t="shared" si="222"/>
        <v/>
      </c>
      <c r="J150" s="863" t="str">
        <f t="shared" si="223"/>
        <v/>
      </c>
      <c r="K150" s="866" t="str">
        <f t="shared" si="224"/>
        <v/>
      </c>
      <c r="L150" s="1293"/>
      <c r="M150" s="847">
        <v>0</v>
      </c>
      <c r="N150" s="1521">
        <v>0</v>
      </c>
      <c r="O150" s="1522" t="str">
        <f t="shared" si="226"/>
        <v/>
      </c>
      <c r="P150" s="1305">
        <f t="shared" si="227"/>
        <v>0</v>
      </c>
      <c r="Q150" s="1304">
        <v>0</v>
      </c>
      <c r="R150" s="392" t="str">
        <f t="shared" si="228"/>
        <v/>
      </c>
      <c r="S150" s="392" t="str">
        <f t="shared" si="229"/>
        <v/>
      </c>
      <c r="T150" s="393">
        <f>ROUND(IF(K150="",0,+Q150/1659*(AB150*12*(1+tab!$D$111+tab!$D$112)-tab!$D$110)*tab!$D$108),-1)</f>
        <v>0</v>
      </c>
      <c r="U150" s="1321" t="str">
        <f t="shared" si="230"/>
        <v/>
      </c>
      <c r="V150" s="376"/>
      <c r="W150" s="952"/>
      <c r="AB150" s="1314" t="str">
        <f t="shared" si="225"/>
        <v/>
      </c>
      <c r="AC150" s="1374">
        <f>tab!$D$101</f>
        <v>0.53</v>
      </c>
      <c r="AD150" s="1313" t="e">
        <f t="shared" si="231"/>
        <v>#VALUE!</v>
      </c>
      <c r="AE150" s="1313" t="e">
        <f t="shared" si="232"/>
        <v>#VALUE!</v>
      </c>
      <c r="AF150" s="1313" t="e">
        <f t="shared" si="233"/>
        <v>#VALUE!</v>
      </c>
      <c r="AG150" s="14">
        <f t="shared" si="234"/>
        <v>0</v>
      </c>
      <c r="AH150" s="1315" t="str">
        <f t="shared" si="235"/>
        <v/>
      </c>
      <c r="AI150" s="14">
        <f t="shared" si="236"/>
        <v>0</v>
      </c>
      <c r="AJ150" s="1316">
        <f t="shared" si="237"/>
        <v>0.5</v>
      </c>
      <c r="AK150" s="6">
        <f t="shared" si="238"/>
        <v>0</v>
      </c>
      <c r="AL150" s="1317">
        <f t="shared" si="239"/>
        <v>0</v>
      </c>
    </row>
    <row r="151" spans="3:38" ht="12.75" customHeight="1" x14ac:dyDescent="0.2">
      <c r="C151" s="35"/>
      <c r="D151" s="862" t="str">
        <f t="shared" si="220"/>
        <v/>
      </c>
      <c r="E151" s="862" t="str">
        <f t="shared" si="220"/>
        <v/>
      </c>
      <c r="F151" s="862" t="str">
        <f t="shared" si="220"/>
        <v/>
      </c>
      <c r="G151" s="863" t="str">
        <f t="shared" si="221"/>
        <v/>
      </c>
      <c r="H151" s="864" t="str">
        <f t="shared" si="222"/>
        <v/>
      </c>
      <c r="I151" s="865" t="str">
        <f t="shared" si="222"/>
        <v/>
      </c>
      <c r="J151" s="863" t="str">
        <f t="shared" si="223"/>
        <v/>
      </c>
      <c r="K151" s="866" t="str">
        <f t="shared" si="224"/>
        <v/>
      </c>
      <c r="L151" s="1293"/>
      <c r="M151" s="847">
        <v>0</v>
      </c>
      <c r="N151" s="1521">
        <v>0</v>
      </c>
      <c r="O151" s="1522" t="str">
        <f t="shared" si="226"/>
        <v/>
      </c>
      <c r="P151" s="1305">
        <f t="shared" si="227"/>
        <v>0</v>
      </c>
      <c r="Q151" s="1304">
        <v>0</v>
      </c>
      <c r="R151" s="392" t="str">
        <f t="shared" si="228"/>
        <v/>
      </c>
      <c r="S151" s="392" t="str">
        <f t="shared" si="229"/>
        <v/>
      </c>
      <c r="T151" s="393">
        <f>ROUND(IF(K151="",0,+Q151/1659*(AB151*12*(1+tab!$D$111+tab!$D$112)-tab!$D$110)*tab!$D$108),-1)</f>
        <v>0</v>
      </c>
      <c r="U151" s="1321" t="str">
        <f t="shared" si="230"/>
        <v/>
      </c>
      <c r="V151" s="376"/>
      <c r="W151" s="952"/>
      <c r="AB151" s="1314" t="str">
        <f t="shared" si="225"/>
        <v/>
      </c>
      <c r="AC151" s="1374">
        <f>tab!$D$101</f>
        <v>0.53</v>
      </c>
      <c r="AD151" s="1313" t="e">
        <f t="shared" si="231"/>
        <v>#VALUE!</v>
      </c>
      <c r="AE151" s="1313" t="e">
        <f t="shared" si="232"/>
        <v>#VALUE!</v>
      </c>
      <c r="AF151" s="1313" t="e">
        <f t="shared" si="233"/>
        <v>#VALUE!</v>
      </c>
      <c r="AG151" s="14">
        <f t="shared" si="234"/>
        <v>0</v>
      </c>
      <c r="AH151" s="1315" t="str">
        <f t="shared" si="235"/>
        <v/>
      </c>
      <c r="AI151" s="14">
        <f t="shared" si="236"/>
        <v>0</v>
      </c>
      <c r="AJ151" s="1316">
        <f t="shared" si="237"/>
        <v>0.5</v>
      </c>
      <c r="AK151" s="6">
        <f t="shared" si="238"/>
        <v>0</v>
      </c>
      <c r="AL151" s="1317">
        <f t="shared" si="239"/>
        <v>0</v>
      </c>
    </row>
    <row r="152" spans="3:38" ht="12.75" customHeight="1" x14ac:dyDescent="0.2">
      <c r="C152" s="35"/>
      <c r="D152" s="862" t="str">
        <f t="shared" si="220"/>
        <v/>
      </c>
      <c r="E152" s="862" t="str">
        <f t="shared" si="220"/>
        <v/>
      </c>
      <c r="F152" s="862" t="str">
        <f t="shared" si="220"/>
        <v/>
      </c>
      <c r="G152" s="863" t="str">
        <f t="shared" si="221"/>
        <v/>
      </c>
      <c r="H152" s="864" t="str">
        <f t="shared" si="222"/>
        <v/>
      </c>
      <c r="I152" s="865" t="str">
        <f t="shared" si="222"/>
        <v/>
      </c>
      <c r="J152" s="863" t="str">
        <f t="shared" si="223"/>
        <v/>
      </c>
      <c r="K152" s="866" t="str">
        <f t="shared" si="224"/>
        <v/>
      </c>
      <c r="L152" s="1293"/>
      <c r="M152" s="847">
        <v>0</v>
      </c>
      <c r="N152" s="1521">
        <v>0</v>
      </c>
      <c r="O152" s="1522" t="str">
        <f t="shared" si="226"/>
        <v/>
      </c>
      <c r="P152" s="1305">
        <f t="shared" si="227"/>
        <v>0</v>
      </c>
      <c r="Q152" s="1304">
        <v>0</v>
      </c>
      <c r="R152" s="392" t="str">
        <f t="shared" si="228"/>
        <v/>
      </c>
      <c r="S152" s="392" t="str">
        <f t="shared" si="229"/>
        <v/>
      </c>
      <c r="T152" s="393">
        <f>ROUND(IF(K152="",0,+Q152/1659*(AB152*12*(1+tab!$D$111+tab!$D$112)-tab!$D$110)*tab!$D$108),-1)</f>
        <v>0</v>
      </c>
      <c r="U152" s="1321" t="str">
        <f t="shared" si="230"/>
        <v/>
      </c>
      <c r="V152" s="376"/>
      <c r="W152" s="952"/>
      <c r="AB152" s="1314" t="str">
        <f t="shared" si="225"/>
        <v/>
      </c>
      <c r="AC152" s="1374">
        <f>tab!$D$101</f>
        <v>0.53</v>
      </c>
      <c r="AD152" s="1313" t="e">
        <f t="shared" si="231"/>
        <v>#VALUE!</v>
      </c>
      <c r="AE152" s="1313" t="e">
        <f t="shared" si="232"/>
        <v>#VALUE!</v>
      </c>
      <c r="AF152" s="1313" t="e">
        <f t="shared" si="233"/>
        <v>#VALUE!</v>
      </c>
      <c r="AG152" s="14">
        <f t="shared" si="234"/>
        <v>0</v>
      </c>
      <c r="AH152" s="1315" t="str">
        <f t="shared" si="235"/>
        <v/>
      </c>
      <c r="AI152" s="14">
        <f t="shared" si="236"/>
        <v>0</v>
      </c>
      <c r="AJ152" s="1316">
        <f t="shared" si="237"/>
        <v>0.5</v>
      </c>
      <c r="AK152" s="6">
        <f t="shared" si="238"/>
        <v>0</v>
      </c>
      <c r="AL152" s="1317">
        <f t="shared" si="239"/>
        <v>0</v>
      </c>
    </row>
    <row r="153" spans="3:38" ht="12.75" customHeight="1" x14ac:dyDescent="0.2">
      <c r="C153" s="35"/>
      <c r="D153" s="862" t="str">
        <f t="shared" si="220"/>
        <v/>
      </c>
      <c r="E153" s="862" t="str">
        <f t="shared" si="220"/>
        <v/>
      </c>
      <c r="F153" s="862" t="str">
        <f t="shared" si="220"/>
        <v/>
      </c>
      <c r="G153" s="863" t="str">
        <f t="shared" si="221"/>
        <v/>
      </c>
      <c r="H153" s="864" t="str">
        <f t="shared" si="222"/>
        <v/>
      </c>
      <c r="I153" s="865" t="str">
        <f t="shared" si="222"/>
        <v/>
      </c>
      <c r="J153" s="863" t="str">
        <f t="shared" si="223"/>
        <v/>
      </c>
      <c r="K153" s="866" t="str">
        <f t="shared" si="224"/>
        <v/>
      </c>
      <c r="L153" s="1293"/>
      <c r="M153" s="847">
        <v>0</v>
      </c>
      <c r="N153" s="1521">
        <v>0</v>
      </c>
      <c r="O153" s="1522" t="str">
        <f t="shared" si="226"/>
        <v/>
      </c>
      <c r="P153" s="1305">
        <f t="shared" si="227"/>
        <v>0</v>
      </c>
      <c r="Q153" s="1304">
        <v>0</v>
      </c>
      <c r="R153" s="392" t="str">
        <f t="shared" si="228"/>
        <v/>
      </c>
      <c r="S153" s="392" t="str">
        <f t="shared" si="229"/>
        <v/>
      </c>
      <c r="T153" s="393">
        <f>ROUND(IF(K153="",0,+Q153/1659*(AB153*12*(1+tab!$D$111+tab!$D$112)-tab!$D$110)*tab!$D$108),-1)</f>
        <v>0</v>
      </c>
      <c r="U153" s="1321" t="str">
        <f t="shared" si="230"/>
        <v/>
      </c>
      <c r="V153" s="376"/>
      <c r="W153" s="952"/>
      <c r="AB153" s="1314" t="str">
        <f t="shared" si="225"/>
        <v/>
      </c>
      <c r="AC153" s="1374">
        <f>tab!$D$101</f>
        <v>0.53</v>
      </c>
      <c r="AD153" s="1313" t="e">
        <f t="shared" si="231"/>
        <v>#VALUE!</v>
      </c>
      <c r="AE153" s="1313" t="e">
        <f t="shared" si="232"/>
        <v>#VALUE!</v>
      </c>
      <c r="AF153" s="1313" t="e">
        <f t="shared" si="233"/>
        <v>#VALUE!</v>
      </c>
      <c r="AG153" s="14">
        <f t="shared" si="234"/>
        <v>0</v>
      </c>
      <c r="AH153" s="1315" t="str">
        <f t="shared" si="235"/>
        <v/>
      </c>
      <c r="AI153" s="14">
        <f t="shared" si="236"/>
        <v>0</v>
      </c>
      <c r="AJ153" s="1316">
        <f t="shared" si="237"/>
        <v>0.5</v>
      </c>
      <c r="AK153" s="6">
        <f t="shared" si="238"/>
        <v>0</v>
      </c>
      <c r="AL153" s="1317">
        <f t="shared" si="239"/>
        <v>0</v>
      </c>
    </row>
    <row r="154" spans="3:38" ht="12.75" customHeight="1" x14ac:dyDescent="0.2">
      <c r="C154" s="35"/>
      <c r="D154" s="862" t="str">
        <f t="shared" si="220"/>
        <v/>
      </c>
      <c r="E154" s="862" t="str">
        <f t="shared" si="220"/>
        <v/>
      </c>
      <c r="F154" s="862" t="str">
        <f t="shared" si="220"/>
        <v/>
      </c>
      <c r="G154" s="863" t="str">
        <f t="shared" si="221"/>
        <v/>
      </c>
      <c r="H154" s="864" t="str">
        <f t="shared" si="222"/>
        <v/>
      </c>
      <c r="I154" s="865" t="str">
        <f t="shared" si="222"/>
        <v/>
      </c>
      <c r="J154" s="863" t="str">
        <f t="shared" si="223"/>
        <v/>
      </c>
      <c r="K154" s="866" t="str">
        <f t="shared" si="224"/>
        <v/>
      </c>
      <c r="L154" s="1293"/>
      <c r="M154" s="847">
        <v>0</v>
      </c>
      <c r="N154" s="1521">
        <v>0</v>
      </c>
      <c r="O154" s="1522" t="str">
        <f t="shared" si="226"/>
        <v/>
      </c>
      <c r="P154" s="1305">
        <f t="shared" si="227"/>
        <v>0</v>
      </c>
      <c r="Q154" s="1304">
        <v>0</v>
      </c>
      <c r="R154" s="392" t="str">
        <f t="shared" si="228"/>
        <v/>
      </c>
      <c r="S154" s="392" t="str">
        <f t="shared" si="229"/>
        <v/>
      </c>
      <c r="T154" s="393">
        <f>ROUND(IF(K154="",0,+Q154/1659*(AB154*12*(1+tab!$D$111+tab!$D$112)-tab!$D$110)*tab!$D$108),-1)</f>
        <v>0</v>
      </c>
      <c r="U154" s="1321" t="str">
        <f t="shared" si="230"/>
        <v/>
      </c>
      <c r="V154" s="376"/>
      <c r="W154" s="952"/>
      <c r="AB154" s="1314" t="str">
        <f t="shared" si="225"/>
        <v/>
      </c>
      <c r="AC154" s="1374">
        <f>tab!$D$101</f>
        <v>0.53</v>
      </c>
      <c r="AD154" s="1313" t="e">
        <f t="shared" si="231"/>
        <v>#VALUE!</v>
      </c>
      <c r="AE154" s="1313" t="e">
        <f t="shared" si="232"/>
        <v>#VALUE!</v>
      </c>
      <c r="AF154" s="1313" t="e">
        <f t="shared" si="233"/>
        <v>#VALUE!</v>
      </c>
      <c r="AG154" s="14">
        <f t="shared" si="234"/>
        <v>0</v>
      </c>
      <c r="AH154" s="1315" t="str">
        <f t="shared" si="235"/>
        <v/>
      </c>
      <c r="AI154" s="14">
        <f t="shared" si="236"/>
        <v>0</v>
      </c>
      <c r="AJ154" s="1316">
        <f t="shared" si="237"/>
        <v>0.5</v>
      </c>
      <c r="AK154" s="6">
        <f t="shared" si="238"/>
        <v>0</v>
      </c>
      <c r="AL154" s="1317">
        <f t="shared" si="239"/>
        <v>0</v>
      </c>
    </row>
    <row r="155" spans="3:38" ht="12.75" customHeight="1" x14ac:dyDescent="0.2">
      <c r="C155" s="35"/>
      <c r="D155" s="862" t="str">
        <f t="shared" si="220"/>
        <v/>
      </c>
      <c r="E155" s="862" t="str">
        <f t="shared" si="220"/>
        <v/>
      </c>
      <c r="F155" s="862" t="str">
        <f t="shared" si="220"/>
        <v/>
      </c>
      <c r="G155" s="863" t="str">
        <f t="shared" si="221"/>
        <v/>
      </c>
      <c r="H155" s="864" t="str">
        <f t="shared" si="222"/>
        <v/>
      </c>
      <c r="I155" s="865" t="str">
        <f t="shared" si="222"/>
        <v/>
      </c>
      <c r="J155" s="863" t="str">
        <f t="shared" si="223"/>
        <v/>
      </c>
      <c r="K155" s="866" t="str">
        <f t="shared" si="224"/>
        <v/>
      </c>
      <c r="L155" s="1293"/>
      <c r="M155" s="847">
        <v>0</v>
      </c>
      <c r="N155" s="1521">
        <v>0</v>
      </c>
      <c r="O155" s="1522" t="str">
        <f t="shared" si="226"/>
        <v/>
      </c>
      <c r="P155" s="1305">
        <f t="shared" si="227"/>
        <v>0</v>
      </c>
      <c r="Q155" s="1304">
        <v>0</v>
      </c>
      <c r="R155" s="392" t="str">
        <f t="shared" si="228"/>
        <v/>
      </c>
      <c r="S155" s="392" t="str">
        <f t="shared" si="229"/>
        <v/>
      </c>
      <c r="T155" s="393">
        <f>ROUND(IF(K155="",0,+Q155/1659*(AB155*12*(1+tab!$D$111+tab!$D$112)-tab!$D$110)*tab!$D$108),-1)</f>
        <v>0</v>
      </c>
      <c r="U155" s="1321" t="str">
        <f t="shared" si="230"/>
        <v/>
      </c>
      <c r="V155" s="376"/>
      <c r="W155" s="952"/>
      <c r="AB155" s="1314" t="str">
        <f t="shared" si="225"/>
        <v/>
      </c>
      <c r="AC155" s="1374">
        <f>tab!$D$101</f>
        <v>0.53</v>
      </c>
      <c r="AD155" s="1313" t="e">
        <f t="shared" si="231"/>
        <v>#VALUE!</v>
      </c>
      <c r="AE155" s="1313" t="e">
        <f t="shared" si="232"/>
        <v>#VALUE!</v>
      </c>
      <c r="AF155" s="1313" t="e">
        <f t="shared" si="233"/>
        <v>#VALUE!</v>
      </c>
      <c r="AG155" s="14">
        <f t="shared" si="234"/>
        <v>0</v>
      </c>
      <c r="AH155" s="1315" t="str">
        <f t="shared" si="235"/>
        <v/>
      </c>
      <c r="AI155" s="14">
        <f t="shared" si="236"/>
        <v>0</v>
      </c>
      <c r="AJ155" s="1316">
        <f t="shared" si="237"/>
        <v>0.5</v>
      </c>
      <c r="AK155" s="6">
        <f t="shared" si="238"/>
        <v>0</v>
      </c>
      <c r="AL155" s="1317">
        <f t="shared" si="239"/>
        <v>0</v>
      </c>
    </row>
    <row r="156" spans="3:38" ht="12.75" customHeight="1" x14ac:dyDescent="0.2">
      <c r="C156" s="35"/>
      <c r="D156" s="862" t="str">
        <f t="shared" si="220"/>
        <v/>
      </c>
      <c r="E156" s="862" t="str">
        <f t="shared" si="220"/>
        <v/>
      </c>
      <c r="F156" s="862" t="str">
        <f t="shared" si="220"/>
        <v/>
      </c>
      <c r="G156" s="863" t="str">
        <f t="shared" si="221"/>
        <v/>
      </c>
      <c r="H156" s="864" t="str">
        <f t="shared" si="222"/>
        <v/>
      </c>
      <c r="I156" s="865" t="str">
        <f t="shared" si="222"/>
        <v/>
      </c>
      <c r="J156" s="863" t="str">
        <f t="shared" si="223"/>
        <v/>
      </c>
      <c r="K156" s="866" t="str">
        <f t="shared" si="224"/>
        <v/>
      </c>
      <c r="L156" s="1293"/>
      <c r="M156" s="847">
        <v>0</v>
      </c>
      <c r="N156" s="1521">
        <v>0</v>
      </c>
      <c r="O156" s="1522" t="str">
        <f t="shared" si="226"/>
        <v/>
      </c>
      <c r="P156" s="1305">
        <f t="shared" si="227"/>
        <v>0</v>
      </c>
      <c r="Q156" s="1304">
        <v>0</v>
      </c>
      <c r="R156" s="392" t="str">
        <f t="shared" si="228"/>
        <v/>
      </c>
      <c r="S156" s="392" t="str">
        <f t="shared" si="229"/>
        <v/>
      </c>
      <c r="T156" s="393">
        <f>ROUND(IF(K156="",0,+Q156/1659*(AB156*12*(1+tab!$D$111+tab!$D$112)-tab!$D$110)*tab!$D$108),-1)</f>
        <v>0</v>
      </c>
      <c r="U156" s="1321" t="str">
        <f t="shared" si="230"/>
        <v/>
      </c>
      <c r="V156" s="376"/>
      <c r="W156" s="952"/>
      <c r="AB156" s="1314" t="str">
        <f t="shared" si="225"/>
        <v/>
      </c>
      <c r="AC156" s="1374">
        <f>tab!$D$101</f>
        <v>0.53</v>
      </c>
      <c r="AD156" s="1313" t="e">
        <f t="shared" si="231"/>
        <v>#VALUE!</v>
      </c>
      <c r="AE156" s="1313" t="e">
        <f t="shared" si="232"/>
        <v>#VALUE!</v>
      </c>
      <c r="AF156" s="1313" t="e">
        <f t="shared" si="233"/>
        <v>#VALUE!</v>
      </c>
      <c r="AG156" s="14">
        <f t="shared" si="234"/>
        <v>0</v>
      </c>
      <c r="AH156" s="1315" t="str">
        <f t="shared" si="235"/>
        <v/>
      </c>
      <c r="AI156" s="14">
        <f t="shared" si="236"/>
        <v>0</v>
      </c>
      <c r="AJ156" s="1316">
        <f t="shared" si="237"/>
        <v>0.5</v>
      </c>
      <c r="AK156" s="6">
        <f t="shared" si="238"/>
        <v>0</v>
      </c>
      <c r="AL156" s="1317">
        <f t="shared" si="239"/>
        <v>0</v>
      </c>
    </row>
    <row r="157" spans="3:38" ht="12.75" customHeight="1" x14ac:dyDescent="0.2">
      <c r="C157" s="35"/>
      <c r="D157" s="862" t="str">
        <f t="shared" si="220"/>
        <v/>
      </c>
      <c r="E157" s="862" t="str">
        <f t="shared" si="220"/>
        <v/>
      </c>
      <c r="F157" s="862" t="str">
        <f t="shared" si="220"/>
        <v/>
      </c>
      <c r="G157" s="863" t="str">
        <f t="shared" si="221"/>
        <v/>
      </c>
      <c r="H157" s="864" t="str">
        <f t="shared" si="222"/>
        <v/>
      </c>
      <c r="I157" s="865" t="str">
        <f t="shared" si="222"/>
        <v/>
      </c>
      <c r="J157" s="863" t="str">
        <f t="shared" si="223"/>
        <v/>
      </c>
      <c r="K157" s="866" t="str">
        <f t="shared" si="224"/>
        <v/>
      </c>
      <c r="L157" s="1293"/>
      <c r="M157" s="847">
        <v>0</v>
      </c>
      <c r="N157" s="1521">
        <v>0</v>
      </c>
      <c r="O157" s="1522" t="str">
        <f t="shared" si="226"/>
        <v/>
      </c>
      <c r="P157" s="1305">
        <f t="shared" si="227"/>
        <v>0</v>
      </c>
      <c r="Q157" s="1304">
        <v>0</v>
      </c>
      <c r="R157" s="392" t="str">
        <f t="shared" si="228"/>
        <v/>
      </c>
      <c r="S157" s="392" t="str">
        <f t="shared" si="229"/>
        <v/>
      </c>
      <c r="T157" s="393">
        <f>ROUND(IF(K157="",0,+Q157/1659*(AB157*12*(1+tab!$D$111+tab!$D$112)-tab!$D$110)*tab!$D$108),-1)</f>
        <v>0</v>
      </c>
      <c r="U157" s="1321" t="str">
        <f t="shared" si="230"/>
        <v/>
      </c>
      <c r="V157" s="376"/>
      <c r="W157" s="952"/>
      <c r="AB157" s="1314" t="str">
        <f t="shared" si="225"/>
        <v/>
      </c>
      <c r="AC157" s="1374">
        <f>tab!$D$101</f>
        <v>0.53</v>
      </c>
      <c r="AD157" s="1313" t="e">
        <f t="shared" si="231"/>
        <v>#VALUE!</v>
      </c>
      <c r="AE157" s="1313" t="e">
        <f t="shared" si="232"/>
        <v>#VALUE!</v>
      </c>
      <c r="AF157" s="1313" t="e">
        <f t="shared" si="233"/>
        <v>#VALUE!</v>
      </c>
      <c r="AG157" s="14">
        <f t="shared" si="234"/>
        <v>0</v>
      </c>
      <c r="AH157" s="1315" t="str">
        <f t="shared" si="235"/>
        <v/>
      </c>
      <c r="AI157" s="14">
        <f t="shared" si="236"/>
        <v>0</v>
      </c>
      <c r="AJ157" s="1316">
        <f t="shared" si="237"/>
        <v>0.5</v>
      </c>
      <c r="AK157" s="6">
        <f t="shared" si="238"/>
        <v>0</v>
      </c>
      <c r="AL157" s="1317">
        <f t="shared" si="239"/>
        <v>0</v>
      </c>
    </row>
    <row r="158" spans="3:38" ht="12.75" customHeight="1" x14ac:dyDescent="0.2">
      <c r="C158" s="35"/>
      <c r="D158" s="862" t="str">
        <f t="shared" si="220"/>
        <v/>
      </c>
      <c r="E158" s="862" t="str">
        <f t="shared" si="220"/>
        <v/>
      </c>
      <c r="F158" s="862" t="str">
        <f t="shared" si="220"/>
        <v/>
      </c>
      <c r="G158" s="863" t="str">
        <f t="shared" si="221"/>
        <v/>
      </c>
      <c r="H158" s="864" t="str">
        <f t="shared" si="222"/>
        <v/>
      </c>
      <c r="I158" s="865" t="str">
        <f t="shared" si="222"/>
        <v/>
      </c>
      <c r="J158" s="863" t="str">
        <f t="shared" si="223"/>
        <v/>
      </c>
      <c r="K158" s="866" t="str">
        <f t="shared" si="224"/>
        <v/>
      </c>
      <c r="L158" s="1293"/>
      <c r="M158" s="847">
        <v>0</v>
      </c>
      <c r="N158" s="1521">
        <v>0</v>
      </c>
      <c r="O158" s="1522" t="str">
        <f t="shared" si="226"/>
        <v/>
      </c>
      <c r="P158" s="1305">
        <f t="shared" si="227"/>
        <v>0</v>
      </c>
      <c r="Q158" s="1304">
        <v>0</v>
      </c>
      <c r="R158" s="392" t="str">
        <f t="shared" si="228"/>
        <v/>
      </c>
      <c r="S158" s="392" t="str">
        <f t="shared" si="229"/>
        <v/>
      </c>
      <c r="T158" s="393">
        <f>ROUND(IF(K158="",0,+Q158/1659*(AB158*12*(1+tab!$D$111+tab!$D$112)-tab!$D$110)*tab!$D$108),-1)</f>
        <v>0</v>
      </c>
      <c r="U158" s="1321" t="str">
        <f t="shared" si="230"/>
        <v/>
      </c>
      <c r="V158" s="376"/>
      <c r="W158" s="952"/>
      <c r="AB158" s="1314" t="str">
        <f t="shared" si="225"/>
        <v/>
      </c>
      <c r="AC158" s="1374">
        <f>tab!$D$101</f>
        <v>0.53</v>
      </c>
      <c r="AD158" s="1313" t="e">
        <f t="shared" si="231"/>
        <v>#VALUE!</v>
      </c>
      <c r="AE158" s="1313" t="e">
        <f t="shared" si="232"/>
        <v>#VALUE!</v>
      </c>
      <c r="AF158" s="1313" t="e">
        <f t="shared" si="233"/>
        <v>#VALUE!</v>
      </c>
      <c r="AG158" s="14">
        <f t="shared" si="234"/>
        <v>0</v>
      </c>
      <c r="AH158" s="1315" t="str">
        <f t="shared" si="235"/>
        <v/>
      </c>
      <c r="AI158" s="14">
        <f t="shared" si="236"/>
        <v>0</v>
      </c>
      <c r="AJ158" s="1316">
        <f t="shared" si="237"/>
        <v>0.5</v>
      </c>
      <c r="AK158" s="6">
        <f t="shared" si="238"/>
        <v>0</v>
      </c>
      <c r="AL158" s="1317">
        <f t="shared" si="239"/>
        <v>0</v>
      </c>
    </row>
    <row r="159" spans="3:38" ht="12.75" customHeight="1" x14ac:dyDescent="0.2">
      <c r="C159" s="35"/>
      <c r="D159" s="862" t="str">
        <f t="shared" si="220"/>
        <v/>
      </c>
      <c r="E159" s="862" t="str">
        <f t="shared" si="220"/>
        <v/>
      </c>
      <c r="F159" s="862" t="str">
        <f t="shared" si="220"/>
        <v/>
      </c>
      <c r="G159" s="863" t="str">
        <f t="shared" si="221"/>
        <v/>
      </c>
      <c r="H159" s="864" t="str">
        <f t="shared" si="222"/>
        <v/>
      </c>
      <c r="I159" s="865" t="str">
        <f t="shared" si="222"/>
        <v/>
      </c>
      <c r="J159" s="863" t="str">
        <f t="shared" si="223"/>
        <v/>
      </c>
      <c r="K159" s="866" t="str">
        <f t="shared" si="224"/>
        <v/>
      </c>
      <c r="L159" s="1293"/>
      <c r="M159" s="847">
        <v>0</v>
      </c>
      <c r="N159" s="1521">
        <v>0</v>
      </c>
      <c r="O159" s="1522" t="str">
        <f t="shared" si="226"/>
        <v/>
      </c>
      <c r="P159" s="1305">
        <f t="shared" si="227"/>
        <v>0</v>
      </c>
      <c r="Q159" s="1304">
        <v>0</v>
      </c>
      <c r="R159" s="392" t="str">
        <f t="shared" si="228"/>
        <v/>
      </c>
      <c r="S159" s="392" t="str">
        <f t="shared" si="229"/>
        <v/>
      </c>
      <c r="T159" s="393">
        <f>ROUND(IF(K159="",0,+Q159/1659*(AB159*12*(1+tab!$D$111+tab!$D$112)-tab!$D$110)*tab!$D$108),-1)</f>
        <v>0</v>
      </c>
      <c r="U159" s="1321" t="str">
        <f t="shared" si="230"/>
        <v/>
      </c>
      <c r="V159" s="376"/>
      <c r="W159" s="952"/>
      <c r="AB159" s="1314" t="str">
        <f t="shared" si="225"/>
        <v/>
      </c>
      <c r="AC159" s="1374">
        <f>tab!$D$101</f>
        <v>0.53</v>
      </c>
      <c r="AD159" s="1313" t="e">
        <f t="shared" si="231"/>
        <v>#VALUE!</v>
      </c>
      <c r="AE159" s="1313" t="e">
        <f t="shared" si="232"/>
        <v>#VALUE!</v>
      </c>
      <c r="AF159" s="1313" t="e">
        <f t="shared" si="233"/>
        <v>#VALUE!</v>
      </c>
      <c r="AG159" s="14">
        <f t="shared" si="234"/>
        <v>0</v>
      </c>
      <c r="AH159" s="1315" t="str">
        <f t="shared" si="235"/>
        <v/>
      </c>
      <c r="AI159" s="14">
        <f t="shared" si="236"/>
        <v>0</v>
      </c>
      <c r="AJ159" s="1316">
        <f t="shared" si="237"/>
        <v>0.5</v>
      </c>
      <c r="AK159" s="6">
        <f t="shared" si="238"/>
        <v>0</v>
      </c>
      <c r="AL159" s="1317">
        <f t="shared" si="239"/>
        <v>0</v>
      </c>
    </row>
    <row r="160" spans="3:38" ht="12.75" customHeight="1" x14ac:dyDescent="0.2">
      <c r="C160" s="35"/>
      <c r="D160" s="862" t="str">
        <f t="shared" si="220"/>
        <v/>
      </c>
      <c r="E160" s="862" t="str">
        <f t="shared" si="220"/>
        <v/>
      </c>
      <c r="F160" s="862" t="str">
        <f t="shared" si="220"/>
        <v/>
      </c>
      <c r="G160" s="863" t="str">
        <f t="shared" si="221"/>
        <v/>
      </c>
      <c r="H160" s="864" t="str">
        <f t="shared" si="222"/>
        <v/>
      </c>
      <c r="I160" s="865" t="str">
        <f t="shared" si="222"/>
        <v/>
      </c>
      <c r="J160" s="863" t="str">
        <f t="shared" si="223"/>
        <v/>
      </c>
      <c r="K160" s="866" t="str">
        <f t="shared" si="224"/>
        <v/>
      </c>
      <c r="L160" s="1293"/>
      <c r="M160" s="847">
        <v>0</v>
      </c>
      <c r="N160" s="1521">
        <v>0</v>
      </c>
      <c r="O160" s="1522" t="str">
        <f t="shared" si="226"/>
        <v/>
      </c>
      <c r="P160" s="1305">
        <f t="shared" si="227"/>
        <v>0</v>
      </c>
      <c r="Q160" s="1304">
        <v>0</v>
      </c>
      <c r="R160" s="392" t="str">
        <f t="shared" si="228"/>
        <v/>
      </c>
      <c r="S160" s="392" t="str">
        <f t="shared" si="229"/>
        <v/>
      </c>
      <c r="T160" s="393">
        <f>ROUND(IF(K160="",0,+Q160/1659*(AB160*12*(1+tab!$D$111+tab!$D$112)-tab!$D$110)*tab!$D$108),-1)</f>
        <v>0</v>
      </c>
      <c r="U160" s="1321" t="str">
        <f t="shared" si="230"/>
        <v/>
      </c>
      <c r="V160" s="376"/>
      <c r="W160" s="952"/>
      <c r="AB160" s="1314" t="str">
        <f t="shared" si="225"/>
        <v/>
      </c>
      <c r="AC160" s="1374">
        <f>tab!$D$101</f>
        <v>0.53</v>
      </c>
      <c r="AD160" s="1313" t="e">
        <f t="shared" si="231"/>
        <v>#VALUE!</v>
      </c>
      <c r="AE160" s="1313" t="e">
        <f t="shared" si="232"/>
        <v>#VALUE!</v>
      </c>
      <c r="AF160" s="1313" t="e">
        <f t="shared" si="233"/>
        <v>#VALUE!</v>
      </c>
      <c r="AG160" s="14">
        <f t="shared" si="234"/>
        <v>0</v>
      </c>
      <c r="AH160" s="1315" t="str">
        <f t="shared" si="235"/>
        <v/>
      </c>
      <c r="AI160" s="14">
        <f t="shared" si="236"/>
        <v>0</v>
      </c>
      <c r="AJ160" s="1316">
        <f t="shared" si="237"/>
        <v>0.5</v>
      </c>
      <c r="AK160" s="6">
        <f t="shared" si="238"/>
        <v>0</v>
      </c>
      <c r="AL160" s="1317">
        <f t="shared" si="239"/>
        <v>0</v>
      </c>
    </row>
    <row r="161" spans="3:46" ht="12.75" customHeight="1" x14ac:dyDescent="0.2">
      <c r="C161" s="35"/>
      <c r="D161" s="862" t="str">
        <f t="shared" si="220"/>
        <v/>
      </c>
      <c r="E161" s="862" t="str">
        <f t="shared" si="220"/>
        <v/>
      </c>
      <c r="F161" s="862" t="str">
        <f t="shared" si="220"/>
        <v/>
      </c>
      <c r="G161" s="863" t="str">
        <f t="shared" si="221"/>
        <v/>
      </c>
      <c r="H161" s="864" t="str">
        <f t="shared" si="222"/>
        <v/>
      </c>
      <c r="I161" s="865" t="str">
        <f t="shared" si="222"/>
        <v/>
      </c>
      <c r="J161" s="863" t="str">
        <f t="shared" si="223"/>
        <v/>
      </c>
      <c r="K161" s="866" t="str">
        <f t="shared" si="224"/>
        <v/>
      </c>
      <c r="L161" s="1293"/>
      <c r="M161" s="847">
        <v>0</v>
      </c>
      <c r="N161" s="1521">
        <v>0</v>
      </c>
      <c r="O161" s="1522" t="str">
        <f t="shared" si="226"/>
        <v/>
      </c>
      <c r="P161" s="1305">
        <f t="shared" si="227"/>
        <v>0</v>
      </c>
      <c r="Q161" s="1304">
        <v>0</v>
      </c>
      <c r="R161" s="392" t="str">
        <f t="shared" si="228"/>
        <v/>
      </c>
      <c r="S161" s="392" t="str">
        <f t="shared" si="229"/>
        <v/>
      </c>
      <c r="T161" s="393">
        <f>ROUND(IF(K161="",0,+Q161/1659*(AB161*12*(1+tab!$D$111+tab!$D$112)-tab!$D$110)*tab!$D$108),-1)</f>
        <v>0</v>
      </c>
      <c r="U161" s="1321" t="str">
        <f t="shared" si="230"/>
        <v/>
      </c>
      <c r="V161" s="376"/>
      <c r="W161" s="952"/>
      <c r="AB161" s="1314" t="str">
        <f t="shared" si="225"/>
        <v/>
      </c>
      <c r="AC161" s="1374">
        <f>tab!$D$101</f>
        <v>0.53</v>
      </c>
      <c r="AD161" s="1313" t="e">
        <f t="shared" si="231"/>
        <v>#VALUE!</v>
      </c>
      <c r="AE161" s="1313" t="e">
        <f t="shared" si="232"/>
        <v>#VALUE!</v>
      </c>
      <c r="AF161" s="1313" t="e">
        <f t="shared" si="233"/>
        <v>#VALUE!</v>
      </c>
      <c r="AG161" s="14">
        <f t="shared" si="234"/>
        <v>0</v>
      </c>
      <c r="AH161" s="1315" t="str">
        <f t="shared" si="235"/>
        <v/>
      </c>
      <c r="AI161" s="14">
        <f t="shared" si="236"/>
        <v>0</v>
      </c>
      <c r="AJ161" s="1316">
        <f t="shared" si="237"/>
        <v>0.5</v>
      </c>
      <c r="AK161" s="6">
        <f t="shared" si="238"/>
        <v>0</v>
      </c>
      <c r="AL161" s="1317">
        <f t="shared" si="239"/>
        <v>0</v>
      </c>
    </row>
    <row r="162" spans="3:46" ht="12.75" customHeight="1" x14ac:dyDescent="0.2">
      <c r="C162" s="35"/>
      <c r="D162" s="862" t="str">
        <f t="shared" si="220"/>
        <v/>
      </c>
      <c r="E162" s="862" t="str">
        <f t="shared" si="220"/>
        <v/>
      </c>
      <c r="F162" s="862" t="str">
        <f t="shared" si="220"/>
        <v/>
      </c>
      <c r="G162" s="863" t="str">
        <f t="shared" si="221"/>
        <v/>
      </c>
      <c r="H162" s="864" t="str">
        <f t="shared" si="222"/>
        <v/>
      </c>
      <c r="I162" s="865" t="str">
        <f t="shared" si="222"/>
        <v/>
      </c>
      <c r="J162" s="863" t="str">
        <f t="shared" si="223"/>
        <v/>
      </c>
      <c r="K162" s="866" t="str">
        <f t="shared" si="224"/>
        <v/>
      </c>
      <c r="L162" s="1293"/>
      <c r="M162" s="847">
        <v>0</v>
      </c>
      <c r="N162" s="1521">
        <v>0</v>
      </c>
      <c r="O162" s="1522" t="str">
        <f t="shared" si="226"/>
        <v/>
      </c>
      <c r="P162" s="1305">
        <f t="shared" si="227"/>
        <v>0</v>
      </c>
      <c r="Q162" s="1304">
        <v>0</v>
      </c>
      <c r="R162" s="392" t="str">
        <f t="shared" si="228"/>
        <v/>
      </c>
      <c r="S162" s="392" t="str">
        <f t="shared" si="229"/>
        <v/>
      </c>
      <c r="T162" s="393">
        <f>ROUND(IF(K162="",0,+Q162/1659*(AB162*12*(1+tab!$D$111+tab!$D$112)-tab!$D$110)*tab!$D$108),-1)</f>
        <v>0</v>
      </c>
      <c r="U162" s="1321" t="str">
        <f t="shared" si="230"/>
        <v/>
      </c>
      <c r="V162" s="376"/>
      <c r="W162" s="952"/>
      <c r="AB162" s="1314" t="str">
        <f t="shared" si="225"/>
        <v/>
      </c>
      <c r="AC162" s="1374">
        <f>tab!$D$101</f>
        <v>0.53</v>
      </c>
      <c r="AD162" s="1313" t="e">
        <f t="shared" si="231"/>
        <v>#VALUE!</v>
      </c>
      <c r="AE162" s="1313" t="e">
        <f t="shared" si="232"/>
        <v>#VALUE!</v>
      </c>
      <c r="AF162" s="1313" t="e">
        <f t="shared" si="233"/>
        <v>#VALUE!</v>
      </c>
      <c r="AG162" s="14">
        <f t="shared" si="234"/>
        <v>0</v>
      </c>
      <c r="AH162" s="1315" t="str">
        <f t="shared" si="235"/>
        <v/>
      </c>
      <c r="AI162" s="14">
        <f t="shared" si="236"/>
        <v>0</v>
      </c>
      <c r="AJ162" s="1316">
        <f t="shared" si="237"/>
        <v>0.5</v>
      </c>
      <c r="AK162" s="6">
        <f t="shared" si="238"/>
        <v>0</v>
      </c>
      <c r="AL162" s="1317">
        <f t="shared" si="239"/>
        <v>0</v>
      </c>
    </row>
    <row r="163" spans="3:46" x14ac:dyDescent="0.2">
      <c r="C163" s="35"/>
      <c r="D163" s="377"/>
      <c r="E163" s="377"/>
      <c r="F163" s="377"/>
      <c r="G163" s="192"/>
      <c r="H163" s="378"/>
      <c r="I163" s="192"/>
      <c r="J163" s="379"/>
      <c r="K163" s="394">
        <f>SUM(K143:K162)</f>
        <v>0</v>
      </c>
      <c r="L163" s="1284"/>
      <c r="M163" s="1303">
        <f>SUM(M143:M162)</f>
        <v>0</v>
      </c>
      <c r="N163" s="1303">
        <f t="shared" ref="N163" si="240">SUM(N143:N162)</f>
        <v>0</v>
      </c>
      <c r="O163" s="1303">
        <f t="shared" ref="O163" si="241">SUM(O143:O162)</f>
        <v>0</v>
      </c>
      <c r="P163" s="1303">
        <f t="shared" ref="P163" si="242">SUM(P143:P162)</f>
        <v>0</v>
      </c>
      <c r="Q163" s="1303">
        <f t="shared" ref="Q163" si="243">SUM(Q143:Q162)</f>
        <v>0</v>
      </c>
      <c r="R163" s="1319">
        <f t="shared" ref="R163" si="244">SUM(R143:R162)</f>
        <v>0</v>
      </c>
      <c r="S163" s="1319">
        <f t="shared" ref="S163" si="245">SUM(S143:S162)</f>
        <v>0</v>
      </c>
      <c r="T163" s="1319">
        <f t="shared" ref="T163" si="246">SUM(T143:T162)</f>
        <v>0</v>
      </c>
      <c r="U163" s="1320">
        <f t="shared" ref="U163" si="247">SUM(U143:U162)</f>
        <v>0</v>
      </c>
      <c r="V163" s="361"/>
      <c r="W163" s="952"/>
      <c r="AB163" s="1314">
        <f>SUM(AB143:AB162)</f>
        <v>0</v>
      </c>
      <c r="AL163" s="1317">
        <f>SUM(AL143:AL162)</f>
        <v>0</v>
      </c>
    </row>
    <row r="164" spans="3:46" x14ac:dyDescent="0.2">
      <c r="C164" s="35"/>
      <c r="D164" s="187"/>
      <c r="E164" s="187"/>
      <c r="F164" s="187"/>
      <c r="G164" s="186"/>
      <c r="H164" s="193"/>
      <c r="I164" s="186"/>
      <c r="J164" s="361"/>
      <c r="K164" s="362"/>
      <c r="L164" s="1290"/>
      <c r="M164" s="362"/>
      <c r="N164" s="361"/>
      <c r="O164" s="361"/>
      <c r="P164" s="380"/>
      <c r="Q164" s="380"/>
      <c r="R164" s="380"/>
      <c r="S164" s="380"/>
      <c r="T164" s="365"/>
      <c r="U164" s="381"/>
      <c r="V164" s="361"/>
      <c r="W164" s="952"/>
    </row>
    <row r="165" spans="3:46" s="7" customFormat="1" ht="12.75" customHeight="1" x14ac:dyDescent="0.2">
      <c r="D165" s="276"/>
      <c r="E165" s="276"/>
      <c r="F165" s="276"/>
      <c r="G165" s="277"/>
      <c r="H165" s="278"/>
      <c r="I165" s="277"/>
      <c r="J165" s="279"/>
      <c r="K165" s="280"/>
      <c r="L165" s="1295"/>
      <c r="M165" s="281"/>
      <c r="O165" s="282"/>
      <c r="P165" s="283"/>
      <c r="Q165" s="283"/>
      <c r="R165" s="283"/>
      <c r="S165" s="283"/>
      <c r="T165" s="274"/>
      <c r="U165" s="284"/>
      <c r="W165" s="1377"/>
      <c r="AC165" s="277"/>
      <c r="AD165" s="285"/>
      <c r="AL165" s="277"/>
      <c r="AM165" s="285"/>
      <c r="AT165" s="6"/>
    </row>
    <row r="166" spans="3:46" ht="12.75" customHeight="1" x14ac:dyDescent="0.2">
      <c r="I166" s="166"/>
      <c r="K166" s="272"/>
      <c r="M166" s="226"/>
      <c r="O166" s="273"/>
      <c r="P166" s="269"/>
      <c r="Q166" s="269"/>
      <c r="R166" s="269"/>
      <c r="S166" s="269"/>
      <c r="T166" s="274"/>
      <c r="U166" s="275"/>
      <c r="W166" s="952"/>
      <c r="AT166" s="7"/>
    </row>
    <row r="167" spans="3:46" ht="12.75" customHeight="1" x14ac:dyDescent="0.2">
      <c r="C167" s="6" t="s">
        <v>145</v>
      </c>
      <c r="E167" s="256" t="str">
        <f>tab!I2</f>
        <v>2019/20</v>
      </c>
      <c r="I167" s="166"/>
      <c r="K167" s="272"/>
      <c r="M167" s="226"/>
      <c r="O167" s="273"/>
      <c r="P167" s="269"/>
      <c r="Q167" s="269"/>
      <c r="R167" s="269"/>
      <c r="S167" s="269"/>
      <c r="T167" s="274"/>
      <c r="U167" s="275"/>
      <c r="W167" s="952"/>
    </row>
    <row r="168" spans="3:46" s="7" customFormat="1" ht="12.75" customHeight="1" x14ac:dyDescent="0.2">
      <c r="C168" s="6" t="s">
        <v>146</v>
      </c>
      <c r="D168" s="276"/>
      <c r="E168" s="256">
        <f>tab!J3</f>
        <v>43739</v>
      </c>
      <c r="F168" s="276"/>
      <c r="G168" s="277"/>
      <c r="H168" s="278"/>
      <c r="I168" s="277"/>
      <c r="J168" s="279"/>
      <c r="K168" s="280"/>
      <c r="L168" s="1295"/>
      <c r="M168" s="281"/>
      <c r="O168" s="282"/>
      <c r="P168" s="283"/>
      <c r="Q168" s="283"/>
      <c r="R168" s="283"/>
      <c r="S168" s="283"/>
      <c r="T168" s="274"/>
      <c r="U168" s="284"/>
      <c r="W168" s="1377"/>
      <c r="AC168" s="277"/>
      <c r="AD168" s="285"/>
      <c r="AL168" s="277"/>
      <c r="AM168" s="285"/>
      <c r="AT168" s="6"/>
    </row>
    <row r="169" spans="3:46" ht="12.75" customHeight="1" x14ac:dyDescent="0.2">
      <c r="I169" s="166"/>
      <c r="K169" s="272"/>
      <c r="M169" s="226"/>
      <c r="O169" s="273"/>
      <c r="P169" s="269"/>
      <c r="Q169" s="269"/>
      <c r="R169" s="269"/>
      <c r="S169" s="269"/>
      <c r="T169" s="274"/>
      <c r="U169" s="275"/>
      <c r="W169" s="952"/>
      <c r="AT169" s="7"/>
    </row>
    <row r="170" spans="3:46" ht="12.75" customHeight="1" x14ac:dyDescent="0.2">
      <c r="C170" s="35"/>
      <c r="D170" s="187"/>
      <c r="E170" s="93"/>
      <c r="F170" s="187"/>
      <c r="G170" s="186"/>
      <c r="H170" s="193"/>
      <c r="I170" s="361"/>
      <c r="J170" s="361"/>
      <c r="K170" s="362"/>
      <c r="L170" s="1290"/>
      <c r="M170" s="363"/>
      <c r="N170" s="35"/>
      <c r="O170" s="364"/>
      <c r="P170" s="35"/>
      <c r="Q170" s="35"/>
      <c r="R170" s="35"/>
      <c r="S170" s="35"/>
      <c r="T170" s="365"/>
      <c r="U170" s="366"/>
      <c r="V170" s="35"/>
      <c r="W170" s="952"/>
      <c r="X170" s="952"/>
      <c r="AC170" s="1306"/>
      <c r="AD170" s="1307"/>
      <c r="AE170" s="1306"/>
      <c r="AF170" s="1306"/>
      <c r="AG170" s="1306"/>
      <c r="AH170" s="1308"/>
      <c r="AI170" s="1309"/>
      <c r="AJ170" s="1310"/>
      <c r="AK170" s="1311"/>
      <c r="AL170" s="1312"/>
      <c r="AM170" s="259"/>
    </row>
    <row r="171" spans="3:46" s="399" customFormat="1" ht="12.75" customHeight="1" x14ac:dyDescent="0.2">
      <c r="C171" s="1281"/>
      <c r="D171" s="1277" t="s">
        <v>147</v>
      </c>
      <c r="E171" s="1278"/>
      <c r="F171" s="1278"/>
      <c r="G171" s="1278"/>
      <c r="H171" s="1278"/>
      <c r="I171" s="1278"/>
      <c r="J171" s="1278"/>
      <c r="K171" s="1278"/>
      <c r="L171" s="1286"/>
      <c r="M171" s="1327" t="s">
        <v>817</v>
      </c>
      <c r="N171" s="1328"/>
      <c r="O171" s="1329"/>
      <c r="P171" s="1329"/>
      <c r="Q171" s="1328"/>
      <c r="R171" s="1330" t="s">
        <v>818</v>
      </c>
      <c r="S171" s="1331"/>
      <c r="T171" s="1331"/>
      <c r="U171" s="1331"/>
      <c r="V171" s="1332"/>
      <c r="W171" s="1375"/>
      <c r="X171" s="1334"/>
      <c r="Y171" s="1335"/>
      <c r="Z171" s="1336"/>
      <c r="AA171" s="1336"/>
      <c r="AB171" s="1337"/>
      <c r="AC171" s="1338"/>
      <c r="AD171" s="1339"/>
      <c r="AE171" s="1338"/>
      <c r="AF171" s="1340"/>
      <c r="AG171" s="1340"/>
      <c r="AH171" s="1341"/>
      <c r="AI171" s="1342"/>
      <c r="AJ171" s="1341"/>
      <c r="AK171" s="1343"/>
      <c r="AL171" s="1343"/>
      <c r="AN171" s="268"/>
      <c r="AO171" s="268"/>
    </row>
    <row r="172" spans="3:46" ht="12.75" customHeight="1" x14ac:dyDescent="0.2">
      <c r="C172" s="367"/>
      <c r="D172" s="383" t="s">
        <v>148</v>
      </c>
      <c r="E172" s="383" t="s">
        <v>149</v>
      </c>
      <c r="F172" s="383" t="s">
        <v>150</v>
      </c>
      <c r="G172" s="384" t="s">
        <v>151</v>
      </c>
      <c r="H172" s="385" t="s">
        <v>152</v>
      </c>
      <c r="I172" s="384" t="s">
        <v>115</v>
      </c>
      <c r="J172" s="384" t="s">
        <v>153</v>
      </c>
      <c r="K172" s="386" t="s">
        <v>154</v>
      </c>
      <c r="L172" s="1291"/>
      <c r="M172" s="1354" t="s">
        <v>819</v>
      </c>
      <c r="N172" s="1355" t="s">
        <v>820</v>
      </c>
      <c r="O172" s="1356" t="s">
        <v>821</v>
      </c>
      <c r="P172" s="1357" t="s">
        <v>822</v>
      </c>
      <c r="Q172" s="1355" t="s">
        <v>823</v>
      </c>
      <c r="R172" s="1356" t="s">
        <v>155</v>
      </c>
      <c r="S172" s="1354" t="s">
        <v>824</v>
      </c>
      <c r="T172" s="1354" t="s">
        <v>825</v>
      </c>
      <c r="U172" s="1354" t="s">
        <v>155</v>
      </c>
      <c r="V172" s="1358"/>
      <c r="W172" s="1376"/>
      <c r="X172" s="1360"/>
      <c r="Y172" s="1361"/>
      <c r="Z172" s="1362"/>
      <c r="AA172" s="1362"/>
      <c r="AB172" s="1371" t="s">
        <v>290</v>
      </c>
      <c r="AC172" s="1372" t="s">
        <v>826</v>
      </c>
      <c r="AD172" s="1373" t="s">
        <v>827</v>
      </c>
      <c r="AE172" s="1373" t="s">
        <v>827</v>
      </c>
      <c r="AF172" s="1373" t="s">
        <v>828</v>
      </c>
      <c r="AG172" s="1373" t="s">
        <v>823</v>
      </c>
      <c r="AH172" s="1373" t="s">
        <v>829</v>
      </c>
      <c r="AI172" s="1373" t="s">
        <v>830</v>
      </c>
      <c r="AJ172" s="1373" t="s">
        <v>831</v>
      </c>
      <c r="AK172" s="1373" t="s">
        <v>157</v>
      </c>
      <c r="AL172" s="1165" t="s">
        <v>303</v>
      </c>
      <c r="AM172" s="6"/>
      <c r="AN172" s="268"/>
      <c r="AO172" s="267"/>
    </row>
    <row r="173" spans="3:46" ht="12.75" customHeight="1" x14ac:dyDescent="0.2">
      <c r="C173" s="367"/>
      <c r="D173" s="388"/>
      <c r="E173" s="383"/>
      <c r="F173" s="389"/>
      <c r="G173" s="384" t="s">
        <v>159</v>
      </c>
      <c r="H173" s="385" t="s">
        <v>160</v>
      </c>
      <c r="I173" s="384"/>
      <c r="J173" s="384"/>
      <c r="K173" s="386"/>
      <c r="L173" s="1291"/>
      <c r="M173" s="1367" t="s">
        <v>832</v>
      </c>
      <c r="N173" s="1355" t="s">
        <v>833</v>
      </c>
      <c r="O173" s="1356" t="s">
        <v>834</v>
      </c>
      <c r="P173" s="1357" t="s">
        <v>95</v>
      </c>
      <c r="Q173" s="1355" t="s">
        <v>835</v>
      </c>
      <c r="R173" s="1356" t="s">
        <v>836</v>
      </c>
      <c r="S173" s="1368" t="s">
        <v>837</v>
      </c>
      <c r="T173" s="1368" t="s">
        <v>838</v>
      </c>
      <c r="U173" s="1354" t="s">
        <v>95</v>
      </c>
      <c r="V173" s="1358"/>
      <c r="W173" s="1376"/>
      <c r="X173" s="1360"/>
      <c r="Y173" s="1369"/>
      <c r="Z173" s="1362"/>
      <c r="AA173" s="1362"/>
      <c r="AB173" s="1373" t="s">
        <v>839</v>
      </c>
      <c r="AC173" s="1374">
        <f>tab!$D$101</f>
        <v>0.53</v>
      </c>
      <c r="AD173" s="1373" t="s">
        <v>840</v>
      </c>
      <c r="AE173" s="1373" t="s">
        <v>841</v>
      </c>
      <c r="AF173" s="1373" t="s">
        <v>842</v>
      </c>
      <c r="AG173" s="1373" t="s">
        <v>835</v>
      </c>
      <c r="AH173" s="1373" t="s">
        <v>843</v>
      </c>
      <c r="AI173" s="1373" t="s">
        <v>843</v>
      </c>
      <c r="AJ173" s="1373" t="s">
        <v>844</v>
      </c>
      <c r="AK173" s="1373"/>
      <c r="AL173" s="1373" t="s">
        <v>156</v>
      </c>
      <c r="AM173" s="6"/>
      <c r="AO173" s="269"/>
    </row>
    <row r="174" spans="3:46" ht="12.75" customHeight="1" x14ac:dyDescent="0.2">
      <c r="C174" s="35"/>
      <c r="D174" s="187"/>
      <c r="E174" s="187"/>
      <c r="F174" s="187"/>
      <c r="G174" s="186"/>
      <c r="H174" s="193"/>
      <c r="I174" s="368"/>
      <c r="J174" s="368"/>
      <c r="K174" s="369"/>
      <c r="L174" s="1292"/>
      <c r="M174" s="369"/>
      <c r="N174" s="370"/>
      <c r="O174" s="371"/>
      <c r="P174" s="372"/>
      <c r="Q174" s="372"/>
      <c r="R174" s="372"/>
      <c r="S174" s="372"/>
      <c r="T174" s="373"/>
      <c r="U174" s="374"/>
      <c r="V174" s="370"/>
      <c r="W174" s="952"/>
      <c r="AC174" s="6"/>
      <c r="AD174" s="6"/>
      <c r="AL174" s="6"/>
      <c r="AM174" s="6"/>
      <c r="AO174" s="269"/>
    </row>
    <row r="175" spans="3:46" ht="12.75" customHeight="1" x14ac:dyDescent="0.2">
      <c r="C175" s="35"/>
      <c r="D175" s="862" t="str">
        <f t="shared" ref="D175:F186" si="248">IF(D143=0,"",D143)</f>
        <v/>
      </c>
      <c r="E175" s="862" t="str">
        <f t="shared" si="248"/>
        <v/>
      </c>
      <c r="F175" s="862" t="str">
        <f t="shared" si="248"/>
        <v/>
      </c>
      <c r="G175" s="863" t="str">
        <f t="shared" ref="G175:G194" si="249">IF(G143="","",G143+1)</f>
        <v/>
      </c>
      <c r="H175" s="864" t="str">
        <f t="shared" ref="H175:I194" si="250">IF(H143=0,"",H143)</f>
        <v/>
      </c>
      <c r="I175" s="865" t="str">
        <f>IF(I143=0,"",I143)</f>
        <v/>
      </c>
      <c r="J175" s="863" t="str">
        <f t="shared" ref="J175:J194" si="251">IF(E175="","",IF(J143&lt;VLOOKUP(I175,tabelsalaris2015VO,19,FALSE),J143+1,J143))</f>
        <v/>
      </c>
      <c r="K175" s="866" t="str">
        <f t="shared" ref="K175:K186" si="252">IF(K143="","",K143)</f>
        <v/>
      </c>
      <c r="L175" s="1293"/>
      <c r="M175" s="847">
        <v>0</v>
      </c>
      <c r="N175" s="1521">
        <v>0</v>
      </c>
      <c r="O175" s="1522" t="str">
        <f>IF(K175="","",K175*50)</f>
        <v/>
      </c>
      <c r="P175" s="1305">
        <f>SUM(M175:O175)</f>
        <v>0</v>
      </c>
      <c r="Q175" s="1304">
        <v>0</v>
      </c>
      <c r="R175" s="392" t="str">
        <f>IF(K175="","",(1659*K175-P175)*AE175)</f>
        <v/>
      </c>
      <c r="S175" s="392" t="str">
        <f>IF(K175="","",P175*AF175+AD175*(AH175+AI175*(1-AJ175)))</f>
        <v/>
      </c>
      <c r="T175" s="393">
        <f>ROUND(IF(K175="",0,+Q175/1659*(AB175*12*(1+tab!$D$111+tab!$D$112)-tab!$D$110)*tab!$D$108),-1)</f>
        <v>0</v>
      </c>
      <c r="U175" s="1321" t="str">
        <f>IF(K175="","",IF(E175=0,0,(R175+S175+T175)))</f>
        <v/>
      </c>
      <c r="V175" s="376"/>
      <c r="W175" s="952"/>
      <c r="AB175" s="1314" t="str">
        <f t="shared" ref="AB175:AB194" si="253">IF(I175="","",VLOOKUP(I175,tabelsalaris2016VO,J175+2,FALSE)*5/12+VLOOKUP(I175,tabelsalaris2016VO,J175+2,FALSE)*7/12)</f>
        <v/>
      </c>
      <c r="AC175" s="1374">
        <f>tab!$D$101</f>
        <v>0.53</v>
      </c>
      <c r="AD175" s="1313" t="e">
        <f>AB175*12/1659</f>
        <v>#VALUE!</v>
      </c>
      <c r="AE175" s="1313" t="e">
        <f>AB175*12*(1+AC175)/1659</f>
        <v>#VALUE!</v>
      </c>
      <c r="AF175" s="1313" t="e">
        <f>+AE175-AD175</f>
        <v>#VALUE!</v>
      </c>
      <c r="AG175" s="14">
        <f>Q175</f>
        <v>0</v>
      </c>
      <c r="AH175" s="1315" t="str">
        <f>O175</f>
        <v/>
      </c>
      <c r="AI175" s="14">
        <f>(M175+N175)</f>
        <v>0</v>
      </c>
      <c r="AJ175" s="1316">
        <f>IF(I175&gt;8,50%,40%)</f>
        <v>0.5</v>
      </c>
      <c r="AK175" s="6">
        <f>IF(G175&lt;25,0,IF(G175=25,25,IF(G175&lt;40,0,IF(G175=40,40,IF(G175&gt;=40,0)))))</f>
        <v>0</v>
      </c>
      <c r="AL175" s="1317">
        <f>IF(AK175=25,AB175*1.08*K175/2,IF(AK175=40,AB175*1.08*K175,0))</f>
        <v>0</v>
      </c>
    </row>
    <row r="176" spans="3:46" ht="12.75" customHeight="1" x14ac:dyDescent="0.2">
      <c r="C176" s="35"/>
      <c r="D176" s="862" t="str">
        <f t="shared" si="248"/>
        <v/>
      </c>
      <c r="E176" s="862" t="str">
        <f t="shared" si="248"/>
        <v/>
      </c>
      <c r="F176" s="862" t="str">
        <f t="shared" si="248"/>
        <v/>
      </c>
      <c r="G176" s="863" t="str">
        <f t="shared" si="249"/>
        <v/>
      </c>
      <c r="H176" s="864" t="str">
        <f t="shared" si="250"/>
        <v/>
      </c>
      <c r="I176" s="865" t="str">
        <f t="shared" si="250"/>
        <v/>
      </c>
      <c r="J176" s="863" t="str">
        <f t="shared" si="251"/>
        <v/>
      </c>
      <c r="K176" s="866" t="str">
        <f t="shared" si="252"/>
        <v/>
      </c>
      <c r="L176" s="1293"/>
      <c r="M176" s="847">
        <v>0</v>
      </c>
      <c r="N176" s="1521">
        <v>0</v>
      </c>
      <c r="O176" s="1522" t="str">
        <f t="shared" ref="O176:O194" si="254">IF(K176="","",K176*50)</f>
        <v/>
      </c>
      <c r="P176" s="1305">
        <f t="shared" ref="P176:P194" si="255">SUM(M176:O176)</f>
        <v>0</v>
      </c>
      <c r="Q176" s="1304">
        <v>0</v>
      </c>
      <c r="R176" s="392" t="str">
        <f t="shared" ref="R176:R194" si="256">IF(K176="","",(1659*K176-P176)*AE176)</f>
        <v/>
      </c>
      <c r="S176" s="392" t="str">
        <f t="shared" ref="S176:S194" si="257">IF(K176="","",P176*AF176+AD176*(AH176+AI176*(1-AJ176)))</f>
        <v/>
      </c>
      <c r="T176" s="393">
        <f>ROUND(IF(K176="",0,+Q176/1659*(AB176*12*(1+tab!$D$111+tab!$D$112)-tab!$D$110)*tab!$D$108),-1)</f>
        <v>0</v>
      </c>
      <c r="U176" s="1321" t="str">
        <f t="shared" ref="U176:U194" si="258">IF(K176="","",IF(E176=0,0,(R176+S176+T176)))</f>
        <v/>
      </c>
      <c r="V176" s="376"/>
      <c r="W176" s="952"/>
      <c r="AB176" s="1314" t="str">
        <f t="shared" si="253"/>
        <v/>
      </c>
      <c r="AC176" s="1374">
        <f>tab!$D$101</f>
        <v>0.53</v>
      </c>
      <c r="AD176" s="1313" t="e">
        <f t="shared" ref="AD176:AD194" si="259">AB176*12/1659</f>
        <v>#VALUE!</v>
      </c>
      <c r="AE176" s="1313" t="e">
        <f t="shared" ref="AE176:AE194" si="260">AB176*12*(1+AC176)/1659</f>
        <v>#VALUE!</v>
      </c>
      <c r="AF176" s="1313" t="e">
        <f t="shared" ref="AF176:AF194" si="261">+AE176-AD176</f>
        <v>#VALUE!</v>
      </c>
      <c r="AG176" s="14">
        <f t="shared" ref="AG176:AG194" si="262">Q176</f>
        <v>0</v>
      </c>
      <c r="AH176" s="1315" t="str">
        <f t="shared" ref="AH176:AH194" si="263">O176</f>
        <v/>
      </c>
      <c r="AI176" s="14">
        <f t="shared" ref="AI176:AI194" si="264">(M176+N176)</f>
        <v>0</v>
      </c>
      <c r="AJ176" s="1316">
        <f t="shared" ref="AJ176:AJ194" si="265">IF(I176&gt;8,50%,40%)</f>
        <v>0.5</v>
      </c>
      <c r="AK176" s="6">
        <f t="shared" ref="AK176:AK194" si="266">IF(G176&lt;25,0,IF(G176=25,25,IF(G176&lt;40,0,IF(G176=40,40,IF(G176&gt;=40,0)))))</f>
        <v>0</v>
      </c>
      <c r="AL176" s="1317">
        <f t="shared" ref="AL176:AL194" si="267">IF(AK176=25,AB176*1.08*K176/2,IF(AK176=40,AB176*1.08*K176,0))</f>
        <v>0</v>
      </c>
    </row>
    <row r="177" spans="3:38" ht="12.75" customHeight="1" x14ac:dyDescent="0.2">
      <c r="C177" s="35"/>
      <c r="D177" s="862" t="str">
        <f t="shared" si="248"/>
        <v/>
      </c>
      <c r="E177" s="867" t="str">
        <f t="shared" si="248"/>
        <v/>
      </c>
      <c r="F177" s="867" t="str">
        <f t="shared" si="248"/>
        <v/>
      </c>
      <c r="G177" s="865" t="str">
        <f t="shared" si="249"/>
        <v/>
      </c>
      <c r="H177" s="868" t="str">
        <f t="shared" si="250"/>
        <v/>
      </c>
      <c r="I177" s="865" t="str">
        <f t="shared" si="250"/>
        <v/>
      </c>
      <c r="J177" s="863" t="str">
        <f t="shared" si="251"/>
        <v/>
      </c>
      <c r="K177" s="869" t="str">
        <f t="shared" si="252"/>
        <v/>
      </c>
      <c r="L177" s="1294"/>
      <c r="M177" s="847">
        <v>0</v>
      </c>
      <c r="N177" s="1521">
        <v>0</v>
      </c>
      <c r="O177" s="1522" t="str">
        <f t="shared" si="254"/>
        <v/>
      </c>
      <c r="P177" s="1305">
        <f t="shared" si="255"/>
        <v>0</v>
      </c>
      <c r="Q177" s="1304">
        <v>0</v>
      </c>
      <c r="R177" s="392" t="str">
        <f t="shared" si="256"/>
        <v/>
      </c>
      <c r="S177" s="392" t="str">
        <f t="shared" si="257"/>
        <v/>
      </c>
      <c r="T177" s="393">
        <f>ROUND(IF(K177="",0,+Q177/1659*(AB177*12*(1+tab!$D$111+tab!$D$112)-tab!$D$110)*tab!$D$108),-1)</f>
        <v>0</v>
      </c>
      <c r="U177" s="1321" t="str">
        <f t="shared" si="258"/>
        <v/>
      </c>
      <c r="V177" s="376"/>
      <c r="W177" s="952"/>
      <c r="AB177" s="1314" t="str">
        <f t="shared" si="253"/>
        <v/>
      </c>
      <c r="AC177" s="1374">
        <f>tab!$D$101</f>
        <v>0.53</v>
      </c>
      <c r="AD177" s="1313" t="e">
        <f t="shared" si="259"/>
        <v>#VALUE!</v>
      </c>
      <c r="AE177" s="1313" t="e">
        <f t="shared" si="260"/>
        <v>#VALUE!</v>
      </c>
      <c r="AF177" s="1313" t="e">
        <f t="shared" si="261"/>
        <v>#VALUE!</v>
      </c>
      <c r="AG177" s="14">
        <f t="shared" si="262"/>
        <v>0</v>
      </c>
      <c r="AH177" s="1315" t="str">
        <f t="shared" si="263"/>
        <v/>
      </c>
      <c r="AI177" s="14">
        <f t="shared" si="264"/>
        <v>0</v>
      </c>
      <c r="AJ177" s="1316">
        <f t="shared" si="265"/>
        <v>0.5</v>
      </c>
      <c r="AK177" s="6">
        <f t="shared" si="266"/>
        <v>0</v>
      </c>
      <c r="AL177" s="1317">
        <f t="shared" si="267"/>
        <v>0</v>
      </c>
    </row>
    <row r="178" spans="3:38" ht="12.75" customHeight="1" x14ac:dyDescent="0.2">
      <c r="C178" s="35"/>
      <c r="D178" s="862" t="str">
        <f t="shared" si="248"/>
        <v/>
      </c>
      <c r="E178" s="862" t="str">
        <f t="shared" si="248"/>
        <v/>
      </c>
      <c r="F178" s="862" t="str">
        <f t="shared" si="248"/>
        <v/>
      </c>
      <c r="G178" s="863" t="str">
        <f t="shared" si="249"/>
        <v/>
      </c>
      <c r="H178" s="864" t="str">
        <f t="shared" si="250"/>
        <v/>
      </c>
      <c r="I178" s="865" t="str">
        <f t="shared" si="250"/>
        <v/>
      </c>
      <c r="J178" s="863" t="str">
        <f t="shared" si="251"/>
        <v/>
      </c>
      <c r="K178" s="866" t="str">
        <f t="shared" si="252"/>
        <v/>
      </c>
      <c r="L178" s="1293"/>
      <c r="M178" s="847">
        <v>0</v>
      </c>
      <c r="N178" s="1521">
        <v>0</v>
      </c>
      <c r="O178" s="1522" t="str">
        <f t="shared" si="254"/>
        <v/>
      </c>
      <c r="P178" s="1305">
        <f t="shared" si="255"/>
        <v>0</v>
      </c>
      <c r="Q178" s="1304">
        <v>0</v>
      </c>
      <c r="R178" s="392" t="str">
        <f t="shared" si="256"/>
        <v/>
      </c>
      <c r="S178" s="392" t="str">
        <f t="shared" si="257"/>
        <v/>
      </c>
      <c r="T178" s="393">
        <f>ROUND(IF(K178="",0,+Q178/1659*(AB178*12*(1+tab!$D$111+tab!$D$112)-tab!$D$110)*tab!$D$108),-1)</f>
        <v>0</v>
      </c>
      <c r="U178" s="1321" t="str">
        <f t="shared" si="258"/>
        <v/>
      </c>
      <c r="V178" s="376"/>
      <c r="W178" s="952"/>
      <c r="AB178" s="1314" t="str">
        <f t="shared" si="253"/>
        <v/>
      </c>
      <c r="AC178" s="1374">
        <f>tab!$D$101</f>
        <v>0.53</v>
      </c>
      <c r="AD178" s="1313" t="e">
        <f t="shared" si="259"/>
        <v>#VALUE!</v>
      </c>
      <c r="AE178" s="1313" t="e">
        <f t="shared" si="260"/>
        <v>#VALUE!</v>
      </c>
      <c r="AF178" s="1313" t="e">
        <f t="shared" si="261"/>
        <v>#VALUE!</v>
      </c>
      <c r="AG178" s="14">
        <f t="shared" si="262"/>
        <v>0</v>
      </c>
      <c r="AH178" s="1315" t="str">
        <f t="shared" si="263"/>
        <v/>
      </c>
      <c r="AI178" s="14">
        <f t="shared" si="264"/>
        <v>0</v>
      </c>
      <c r="AJ178" s="1316">
        <f t="shared" si="265"/>
        <v>0.5</v>
      </c>
      <c r="AK178" s="6">
        <f t="shared" si="266"/>
        <v>0</v>
      </c>
      <c r="AL178" s="1317">
        <f t="shared" si="267"/>
        <v>0</v>
      </c>
    </row>
    <row r="179" spans="3:38" ht="12.75" customHeight="1" x14ac:dyDescent="0.2">
      <c r="C179" s="35"/>
      <c r="D179" s="862" t="str">
        <f t="shared" si="248"/>
        <v/>
      </c>
      <c r="E179" s="862" t="str">
        <f t="shared" si="248"/>
        <v/>
      </c>
      <c r="F179" s="862" t="str">
        <f t="shared" si="248"/>
        <v/>
      </c>
      <c r="G179" s="863" t="str">
        <f t="shared" si="249"/>
        <v/>
      </c>
      <c r="H179" s="864" t="str">
        <f t="shared" si="250"/>
        <v/>
      </c>
      <c r="I179" s="865" t="str">
        <f t="shared" si="250"/>
        <v/>
      </c>
      <c r="J179" s="863" t="str">
        <f t="shared" si="251"/>
        <v/>
      </c>
      <c r="K179" s="866" t="str">
        <f t="shared" si="252"/>
        <v/>
      </c>
      <c r="L179" s="1293"/>
      <c r="M179" s="847">
        <v>0</v>
      </c>
      <c r="N179" s="1521">
        <v>0</v>
      </c>
      <c r="O179" s="1522" t="str">
        <f t="shared" si="254"/>
        <v/>
      </c>
      <c r="P179" s="1305">
        <f t="shared" si="255"/>
        <v>0</v>
      </c>
      <c r="Q179" s="1304">
        <v>0</v>
      </c>
      <c r="R179" s="392" t="str">
        <f t="shared" si="256"/>
        <v/>
      </c>
      <c r="S179" s="392" t="str">
        <f t="shared" si="257"/>
        <v/>
      </c>
      <c r="T179" s="393">
        <f>ROUND(IF(K179="",0,+Q179/1659*(AB179*12*(1+tab!$D$111+tab!$D$112)-tab!$D$110)*tab!$D$108),-1)</f>
        <v>0</v>
      </c>
      <c r="U179" s="1321" t="str">
        <f t="shared" si="258"/>
        <v/>
      </c>
      <c r="V179" s="376"/>
      <c r="W179" s="952"/>
      <c r="AB179" s="1314" t="str">
        <f t="shared" si="253"/>
        <v/>
      </c>
      <c r="AC179" s="1374">
        <f>tab!$D$101</f>
        <v>0.53</v>
      </c>
      <c r="AD179" s="1313" t="e">
        <f t="shared" si="259"/>
        <v>#VALUE!</v>
      </c>
      <c r="AE179" s="1313" t="e">
        <f t="shared" si="260"/>
        <v>#VALUE!</v>
      </c>
      <c r="AF179" s="1313" t="e">
        <f t="shared" si="261"/>
        <v>#VALUE!</v>
      </c>
      <c r="AG179" s="14">
        <f t="shared" si="262"/>
        <v>0</v>
      </c>
      <c r="AH179" s="1315" t="str">
        <f t="shared" si="263"/>
        <v/>
      </c>
      <c r="AI179" s="14">
        <f t="shared" si="264"/>
        <v>0</v>
      </c>
      <c r="AJ179" s="1316">
        <f t="shared" si="265"/>
        <v>0.5</v>
      </c>
      <c r="AK179" s="6">
        <f t="shared" si="266"/>
        <v>0</v>
      </c>
      <c r="AL179" s="1317">
        <f t="shared" si="267"/>
        <v>0</v>
      </c>
    </row>
    <row r="180" spans="3:38" ht="12.75" customHeight="1" x14ac:dyDescent="0.2">
      <c r="C180" s="35"/>
      <c r="D180" s="862" t="str">
        <f t="shared" si="248"/>
        <v/>
      </c>
      <c r="E180" s="862" t="str">
        <f t="shared" si="248"/>
        <v/>
      </c>
      <c r="F180" s="862" t="str">
        <f t="shared" si="248"/>
        <v/>
      </c>
      <c r="G180" s="863" t="str">
        <f t="shared" si="249"/>
        <v/>
      </c>
      <c r="H180" s="864" t="str">
        <f t="shared" si="250"/>
        <v/>
      </c>
      <c r="I180" s="865" t="str">
        <f t="shared" si="250"/>
        <v/>
      </c>
      <c r="J180" s="863" t="str">
        <f t="shared" si="251"/>
        <v/>
      </c>
      <c r="K180" s="866" t="str">
        <f t="shared" si="252"/>
        <v/>
      </c>
      <c r="L180" s="1293"/>
      <c r="M180" s="847">
        <v>0</v>
      </c>
      <c r="N180" s="1521">
        <v>0</v>
      </c>
      <c r="O180" s="1522" t="str">
        <f t="shared" si="254"/>
        <v/>
      </c>
      <c r="P180" s="1305">
        <f t="shared" si="255"/>
        <v>0</v>
      </c>
      <c r="Q180" s="1304">
        <v>0</v>
      </c>
      <c r="R180" s="392" t="str">
        <f t="shared" si="256"/>
        <v/>
      </c>
      <c r="S180" s="392" t="str">
        <f t="shared" si="257"/>
        <v/>
      </c>
      <c r="T180" s="393">
        <f>ROUND(IF(K180="",0,+Q180/1659*(AB180*12*(1+tab!$D$111+tab!$D$112)-tab!$D$110)*tab!$D$108),-1)</f>
        <v>0</v>
      </c>
      <c r="U180" s="1321" t="str">
        <f t="shared" si="258"/>
        <v/>
      </c>
      <c r="V180" s="376"/>
      <c r="W180" s="952"/>
      <c r="AB180" s="1314" t="str">
        <f t="shared" si="253"/>
        <v/>
      </c>
      <c r="AC180" s="1374">
        <f>tab!$D$101</f>
        <v>0.53</v>
      </c>
      <c r="AD180" s="1313" t="e">
        <f t="shared" si="259"/>
        <v>#VALUE!</v>
      </c>
      <c r="AE180" s="1313" t="e">
        <f t="shared" si="260"/>
        <v>#VALUE!</v>
      </c>
      <c r="AF180" s="1313" t="e">
        <f t="shared" si="261"/>
        <v>#VALUE!</v>
      </c>
      <c r="AG180" s="14">
        <f t="shared" si="262"/>
        <v>0</v>
      </c>
      <c r="AH180" s="1315" t="str">
        <f t="shared" si="263"/>
        <v/>
      </c>
      <c r="AI180" s="14">
        <f t="shared" si="264"/>
        <v>0</v>
      </c>
      <c r="AJ180" s="1316">
        <f t="shared" si="265"/>
        <v>0.5</v>
      </c>
      <c r="AK180" s="6">
        <f t="shared" si="266"/>
        <v>0</v>
      </c>
      <c r="AL180" s="1317">
        <f t="shared" si="267"/>
        <v>0</v>
      </c>
    </row>
    <row r="181" spans="3:38" ht="12.75" customHeight="1" x14ac:dyDescent="0.2">
      <c r="C181" s="35"/>
      <c r="D181" s="862" t="str">
        <f t="shared" si="248"/>
        <v/>
      </c>
      <c r="E181" s="862" t="str">
        <f t="shared" si="248"/>
        <v/>
      </c>
      <c r="F181" s="862" t="str">
        <f t="shared" si="248"/>
        <v/>
      </c>
      <c r="G181" s="863" t="str">
        <f t="shared" si="249"/>
        <v/>
      </c>
      <c r="H181" s="864" t="str">
        <f t="shared" si="250"/>
        <v/>
      </c>
      <c r="I181" s="865" t="str">
        <f t="shared" si="250"/>
        <v/>
      </c>
      <c r="J181" s="863" t="str">
        <f t="shared" si="251"/>
        <v/>
      </c>
      <c r="K181" s="866" t="str">
        <f t="shared" si="252"/>
        <v/>
      </c>
      <c r="L181" s="1293"/>
      <c r="M181" s="847">
        <v>0</v>
      </c>
      <c r="N181" s="1521">
        <v>0</v>
      </c>
      <c r="O181" s="1522" t="str">
        <f t="shared" si="254"/>
        <v/>
      </c>
      <c r="P181" s="1305">
        <f t="shared" si="255"/>
        <v>0</v>
      </c>
      <c r="Q181" s="1304">
        <v>0</v>
      </c>
      <c r="R181" s="392" t="str">
        <f t="shared" si="256"/>
        <v/>
      </c>
      <c r="S181" s="392" t="str">
        <f t="shared" si="257"/>
        <v/>
      </c>
      <c r="T181" s="393">
        <f>ROUND(IF(K181="",0,+Q181/1659*(AB181*12*(1+tab!$D$111+tab!$D$112)-tab!$D$110)*tab!$D$108),-1)</f>
        <v>0</v>
      </c>
      <c r="U181" s="1321" t="str">
        <f t="shared" si="258"/>
        <v/>
      </c>
      <c r="V181" s="376"/>
      <c r="W181" s="952"/>
      <c r="AB181" s="1314" t="str">
        <f t="shared" si="253"/>
        <v/>
      </c>
      <c r="AC181" s="1374">
        <f>tab!$D$101</f>
        <v>0.53</v>
      </c>
      <c r="AD181" s="1313" t="e">
        <f t="shared" si="259"/>
        <v>#VALUE!</v>
      </c>
      <c r="AE181" s="1313" t="e">
        <f t="shared" si="260"/>
        <v>#VALUE!</v>
      </c>
      <c r="AF181" s="1313" t="e">
        <f t="shared" si="261"/>
        <v>#VALUE!</v>
      </c>
      <c r="AG181" s="14">
        <f t="shared" si="262"/>
        <v>0</v>
      </c>
      <c r="AH181" s="1315" t="str">
        <f t="shared" si="263"/>
        <v/>
      </c>
      <c r="AI181" s="14">
        <f t="shared" si="264"/>
        <v>0</v>
      </c>
      <c r="AJ181" s="1316">
        <f t="shared" si="265"/>
        <v>0.5</v>
      </c>
      <c r="AK181" s="6">
        <f t="shared" si="266"/>
        <v>0</v>
      </c>
      <c r="AL181" s="1317">
        <f t="shared" si="267"/>
        <v>0</v>
      </c>
    </row>
    <row r="182" spans="3:38" ht="12.75" customHeight="1" x14ac:dyDescent="0.2">
      <c r="C182" s="35"/>
      <c r="D182" s="862" t="str">
        <f t="shared" si="248"/>
        <v/>
      </c>
      <c r="E182" s="862" t="str">
        <f t="shared" si="248"/>
        <v/>
      </c>
      <c r="F182" s="862" t="str">
        <f t="shared" si="248"/>
        <v/>
      </c>
      <c r="G182" s="863" t="str">
        <f t="shared" si="249"/>
        <v/>
      </c>
      <c r="H182" s="864" t="str">
        <f t="shared" si="250"/>
        <v/>
      </c>
      <c r="I182" s="865" t="str">
        <f t="shared" si="250"/>
        <v/>
      </c>
      <c r="J182" s="863" t="str">
        <f t="shared" si="251"/>
        <v/>
      </c>
      <c r="K182" s="866" t="str">
        <f t="shared" si="252"/>
        <v/>
      </c>
      <c r="L182" s="1293"/>
      <c r="M182" s="847">
        <v>0</v>
      </c>
      <c r="N182" s="1521">
        <v>0</v>
      </c>
      <c r="O182" s="1522" t="str">
        <f t="shared" si="254"/>
        <v/>
      </c>
      <c r="P182" s="1305">
        <f t="shared" si="255"/>
        <v>0</v>
      </c>
      <c r="Q182" s="1304">
        <v>0</v>
      </c>
      <c r="R182" s="392" t="str">
        <f t="shared" si="256"/>
        <v/>
      </c>
      <c r="S182" s="392" t="str">
        <f t="shared" si="257"/>
        <v/>
      </c>
      <c r="T182" s="393">
        <f>ROUND(IF(K182="",0,+Q182/1659*(AB182*12*(1+tab!$D$111+tab!$D$112)-tab!$D$110)*tab!$D$108),-1)</f>
        <v>0</v>
      </c>
      <c r="U182" s="1321" t="str">
        <f t="shared" si="258"/>
        <v/>
      </c>
      <c r="V182" s="376"/>
      <c r="W182" s="952"/>
      <c r="AB182" s="1314" t="str">
        <f t="shared" si="253"/>
        <v/>
      </c>
      <c r="AC182" s="1374">
        <f>tab!$D$101</f>
        <v>0.53</v>
      </c>
      <c r="AD182" s="1313" t="e">
        <f t="shared" si="259"/>
        <v>#VALUE!</v>
      </c>
      <c r="AE182" s="1313" t="e">
        <f t="shared" si="260"/>
        <v>#VALUE!</v>
      </c>
      <c r="AF182" s="1313" t="e">
        <f t="shared" si="261"/>
        <v>#VALUE!</v>
      </c>
      <c r="AG182" s="14">
        <f t="shared" si="262"/>
        <v>0</v>
      </c>
      <c r="AH182" s="1315" t="str">
        <f t="shared" si="263"/>
        <v/>
      </c>
      <c r="AI182" s="14">
        <f t="shared" si="264"/>
        <v>0</v>
      </c>
      <c r="AJ182" s="1316">
        <f t="shared" si="265"/>
        <v>0.5</v>
      </c>
      <c r="AK182" s="6">
        <f t="shared" si="266"/>
        <v>0</v>
      </c>
      <c r="AL182" s="1317">
        <f t="shared" si="267"/>
        <v>0</v>
      </c>
    </row>
    <row r="183" spans="3:38" ht="12.75" customHeight="1" x14ac:dyDescent="0.2">
      <c r="C183" s="35"/>
      <c r="D183" s="862" t="str">
        <f t="shared" si="248"/>
        <v/>
      </c>
      <c r="E183" s="862" t="str">
        <f t="shared" si="248"/>
        <v/>
      </c>
      <c r="F183" s="862" t="str">
        <f t="shared" si="248"/>
        <v/>
      </c>
      <c r="G183" s="863" t="str">
        <f t="shared" si="249"/>
        <v/>
      </c>
      <c r="H183" s="864" t="str">
        <f t="shared" si="250"/>
        <v/>
      </c>
      <c r="I183" s="865" t="str">
        <f t="shared" si="250"/>
        <v/>
      </c>
      <c r="J183" s="863" t="str">
        <f t="shared" si="251"/>
        <v/>
      </c>
      <c r="K183" s="866" t="str">
        <f t="shared" si="252"/>
        <v/>
      </c>
      <c r="L183" s="1293"/>
      <c r="M183" s="847">
        <v>0</v>
      </c>
      <c r="N183" s="1521">
        <v>0</v>
      </c>
      <c r="O183" s="1522" t="str">
        <f t="shared" si="254"/>
        <v/>
      </c>
      <c r="P183" s="1305">
        <f t="shared" si="255"/>
        <v>0</v>
      </c>
      <c r="Q183" s="1304">
        <v>0</v>
      </c>
      <c r="R183" s="392" t="str">
        <f t="shared" si="256"/>
        <v/>
      </c>
      <c r="S183" s="392" t="str">
        <f t="shared" si="257"/>
        <v/>
      </c>
      <c r="T183" s="393">
        <f>ROUND(IF(K183="",0,+Q183/1659*(AB183*12*(1+tab!$D$111+tab!$D$112)-tab!$D$110)*tab!$D$108),-1)</f>
        <v>0</v>
      </c>
      <c r="U183" s="1321" t="str">
        <f t="shared" si="258"/>
        <v/>
      </c>
      <c r="V183" s="376"/>
      <c r="W183" s="952"/>
      <c r="AB183" s="1314" t="str">
        <f t="shared" si="253"/>
        <v/>
      </c>
      <c r="AC183" s="1374">
        <f>tab!$D$101</f>
        <v>0.53</v>
      </c>
      <c r="AD183" s="1313" t="e">
        <f t="shared" si="259"/>
        <v>#VALUE!</v>
      </c>
      <c r="AE183" s="1313" t="e">
        <f t="shared" si="260"/>
        <v>#VALUE!</v>
      </c>
      <c r="AF183" s="1313" t="e">
        <f t="shared" si="261"/>
        <v>#VALUE!</v>
      </c>
      <c r="AG183" s="14">
        <f t="shared" si="262"/>
        <v>0</v>
      </c>
      <c r="AH183" s="1315" t="str">
        <f t="shared" si="263"/>
        <v/>
      </c>
      <c r="AI183" s="14">
        <f t="shared" si="264"/>
        <v>0</v>
      </c>
      <c r="AJ183" s="1316">
        <f t="shared" si="265"/>
        <v>0.5</v>
      </c>
      <c r="AK183" s="6">
        <f t="shared" si="266"/>
        <v>0</v>
      </c>
      <c r="AL183" s="1317">
        <f t="shared" si="267"/>
        <v>0</v>
      </c>
    </row>
    <row r="184" spans="3:38" ht="12.75" customHeight="1" x14ac:dyDescent="0.2">
      <c r="C184" s="35"/>
      <c r="D184" s="862" t="str">
        <f t="shared" si="248"/>
        <v/>
      </c>
      <c r="E184" s="862" t="str">
        <f t="shared" si="248"/>
        <v/>
      </c>
      <c r="F184" s="862" t="str">
        <f t="shared" si="248"/>
        <v/>
      </c>
      <c r="G184" s="863" t="str">
        <f t="shared" si="249"/>
        <v/>
      </c>
      <c r="H184" s="864" t="str">
        <f t="shared" si="250"/>
        <v/>
      </c>
      <c r="I184" s="865" t="str">
        <f t="shared" si="250"/>
        <v/>
      </c>
      <c r="J184" s="863" t="str">
        <f t="shared" si="251"/>
        <v/>
      </c>
      <c r="K184" s="866" t="str">
        <f t="shared" si="252"/>
        <v/>
      </c>
      <c r="L184" s="1293"/>
      <c r="M184" s="847">
        <v>0</v>
      </c>
      <c r="N184" s="1521">
        <v>0</v>
      </c>
      <c r="O184" s="1522" t="str">
        <f t="shared" si="254"/>
        <v/>
      </c>
      <c r="P184" s="1305">
        <f t="shared" si="255"/>
        <v>0</v>
      </c>
      <c r="Q184" s="1304">
        <v>0</v>
      </c>
      <c r="R184" s="392" t="str">
        <f t="shared" si="256"/>
        <v/>
      </c>
      <c r="S184" s="392" t="str">
        <f t="shared" si="257"/>
        <v/>
      </c>
      <c r="T184" s="393">
        <f>ROUND(IF(K184="",0,+Q184/1659*(AB184*12*(1+tab!$D$111+tab!$D$112)-tab!$D$110)*tab!$D$108),-1)</f>
        <v>0</v>
      </c>
      <c r="U184" s="1321" t="str">
        <f t="shared" si="258"/>
        <v/>
      </c>
      <c r="V184" s="376"/>
      <c r="W184" s="952"/>
      <c r="AB184" s="1314" t="str">
        <f t="shared" si="253"/>
        <v/>
      </c>
      <c r="AC184" s="1374">
        <f>tab!$D$101</f>
        <v>0.53</v>
      </c>
      <c r="AD184" s="1313" t="e">
        <f t="shared" si="259"/>
        <v>#VALUE!</v>
      </c>
      <c r="AE184" s="1313" t="e">
        <f t="shared" si="260"/>
        <v>#VALUE!</v>
      </c>
      <c r="AF184" s="1313" t="e">
        <f t="shared" si="261"/>
        <v>#VALUE!</v>
      </c>
      <c r="AG184" s="14">
        <f t="shared" si="262"/>
        <v>0</v>
      </c>
      <c r="AH184" s="1315" t="str">
        <f t="shared" si="263"/>
        <v/>
      </c>
      <c r="AI184" s="14">
        <f t="shared" si="264"/>
        <v>0</v>
      </c>
      <c r="AJ184" s="1316">
        <f t="shared" si="265"/>
        <v>0.5</v>
      </c>
      <c r="AK184" s="6">
        <f t="shared" si="266"/>
        <v>0</v>
      </c>
      <c r="AL184" s="1317">
        <f t="shared" si="267"/>
        <v>0</v>
      </c>
    </row>
    <row r="185" spans="3:38" ht="12.75" customHeight="1" x14ac:dyDescent="0.2">
      <c r="C185" s="35"/>
      <c r="D185" s="862" t="str">
        <f t="shared" si="248"/>
        <v/>
      </c>
      <c r="E185" s="862" t="str">
        <f t="shared" si="248"/>
        <v/>
      </c>
      <c r="F185" s="862" t="str">
        <f t="shared" si="248"/>
        <v/>
      </c>
      <c r="G185" s="863" t="str">
        <f t="shared" si="249"/>
        <v/>
      </c>
      <c r="H185" s="864" t="str">
        <f t="shared" si="250"/>
        <v/>
      </c>
      <c r="I185" s="865" t="str">
        <f t="shared" si="250"/>
        <v/>
      </c>
      <c r="J185" s="863" t="str">
        <f t="shared" si="251"/>
        <v/>
      </c>
      <c r="K185" s="866" t="str">
        <f t="shared" si="252"/>
        <v/>
      </c>
      <c r="L185" s="1293"/>
      <c r="M185" s="847">
        <v>0</v>
      </c>
      <c r="N185" s="1521">
        <v>0</v>
      </c>
      <c r="O185" s="1522" t="str">
        <f t="shared" si="254"/>
        <v/>
      </c>
      <c r="P185" s="1305">
        <f t="shared" si="255"/>
        <v>0</v>
      </c>
      <c r="Q185" s="1304">
        <v>0</v>
      </c>
      <c r="R185" s="392" t="str">
        <f t="shared" si="256"/>
        <v/>
      </c>
      <c r="S185" s="392" t="str">
        <f t="shared" si="257"/>
        <v/>
      </c>
      <c r="T185" s="393">
        <f>ROUND(IF(K185="",0,+Q185/1659*(AB185*12*(1+tab!$D$111+tab!$D$112)-tab!$D$110)*tab!$D$108),-1)</f>
        <v>0</v>
      </c>
      <c r="U185" s="1321" t="str">
        <f t="shared" si="258"/>
        <v/>
      </c>
      <c r="V185" s="376"/>
      <c r="W185" s="952"/>
      <c r="AB185" s="1314" t="str">
        <f t="shared" si="253"/>
        <v/>
      </c>
      <c r="AC185" s="1374">
        <f>tab!$D$101</f>
        <v>0.53</v>
      </c>
      <c r="AD185" s="1313" t="e">
        <f t="shared" si="259"/>
        <v>#VALUE!</v>
      </c>
      <c r="AE185" s="1313" t="e">
        <f t="shared" si="260"/>
        <v>#VALUE!</v>
      </c>
      <c r="AF185" s="1313" t="e">
        <f t="shared" si="261"/>
        <v>#VALUE!</v>
      </c>
      <c r="AG185" s="14">
        <f t="shared" si="262"/>
        <v>0</v>
      </c>
      <c r="AH185" s="1315" t="str">
        <f t="shared" si="263"/>
        <v/>
      </c>
      <c r="AI185" s="14">
        <f t="shared" si="264"/>
        <v>0</v>
      </c>
      <c r="AJ185" s="1316">
        <f t="shared" si="265"/>
        <v>0.5</v>
      </c>
      <c r="AK185" s="6">
        <f t="shared" si="266"/>
        <v>0</v>
      </c>
      <c r="AL185" s="1317">
        <f t="shared" si="267"/>
        <v>0</v>
      </c>
    </row>
    <row r="186" spans="3:38" ht="12.75" customHeight="1" x14ac:dyDescent="0.2">
      <c r="C186" s="35"/>
      <c r="D186" s="862" t="str">
        <f t="shared" si="248"/>
        <v/>
      </c>
      <c r="E186" s="862" t="str">
        <f t="shared" si="248"/>
        <v/>
      </c>
      <c r="F186" s="862" t="str">
        <f t="shared" si="248"/>
        <v/>
      </c>
      <c r="G186" s="863" t="str">
        <f t="shared" si="249"/>
        <v/>
      </c>
      <c r="H186" s="864" t="str">
        <f t="shared" si="250"/>
        <v/>
      </c>
      <c r="I186" s="865" t="str">
        <f t="shared" si="250"/>
        <v/>
      </c>
      <c r="J186" s="863" t="str">
        <f t="shared" si="251"/>
        <v/>
      </c>
      <c r="K186" s="866" t="str">
        <f t="shared" si="252"/>
        <v/>
      </c>
      <c r="L186" s="1293"/>
      <c r="M186" s="847">
        <v>0</v>
      </c>
      <c r="N186" s="1521">
        <v>0</v>
      </c>
      <c r="O186" s="1522" t="str">
        <f t="shared" si="254"/>
        <v/>
      </c>
      <c r="P186" s="1305">
        <f t="shared" si="255"/>
        <v>0</v>
      </c>
      <c r="Q186" s="1304">
        <v>0</v>
      </c>
      <c r="R186" s="392" t="str">
        <f t="shared" si="256"/>
        <v/>
      </c>
      <c r="S186" s="392" t="str">
        <f t="shared" si="257"/>
        <v/>
      </c>
      <c r="T186" s="393">
        <f>ROUND(IF(K186="",0,+Q186/1659*(AB186*12*(1+tab!$D$111+tab!$D$112)-tab!$D$110)*tab!$D$108),-1)</f>
        <v>0</v>
      </c>
      <c r="U186" s="1321" t="str">
        <f t="shared" si="258"/>
        <v/>
      </c>
      <c r="V186" s="376"/>
      <c r="W186" s="952"/>
      <c r="AB186" s="1314" t="str">
        <f t="shared" si="253"/>
        <v/>
      </c>
      <c r="AC186" s="1374">
        <f>tab!$D$101</f>
        <v>0.53</v>
      </c>
      <c r="AD186" s="1313" t="e">
        <f t="shared" si="259"/>
        <v>#VALUE!</v>
      </c>
      <c r="AE186" s="1313" t="e">
        <f t="shared" si="260"/>
        <v>#VALUE!</v>
      </c>
      <c r="AF186" s="1313" t="e">
        <f t="shared" si="261"/>
        <v>#VALUE!</v>
      </c>
      <c r="AG186" s="14">
        <f t="shared" si="262"/>
        <v>0</v>
      </c>
      <c r="AH186" s="1315" t="str">
        <f t="shared" si="263"/>
        <v/>
      </c>
      <c r="AI186" s="14">
        <f t="shared" si="264"/>
        <v>0</v>
      </c>
      <c r="AJ186" s="1316">
        <f t="shared" si="265"/>
        <v>0.5</v>
      </c>
      <c r="AK186" s="6">
        <f t="shared" si="266"/>
        <v>0</v>
      </c>
      <c r="AL186" s="1317">
        <f t="shared" si="267"/>
        <v>0</v>
      </c>
    </row>
    <row r="187" spans="3:38" ht="12.75" customHeight="1" x14ac:dyDescent="0.2">
      <c r="C187" s="35"/>
      <c r="D187" s="862" t="str">
        <f t="shared" ref="D187:F189" si="268">IF(D155=0,"",D155)</f>
        <v/>
      </c>
      <c r="E187" s="862" t="str">
        <f t="shared" si="268"/>
        <v/>
      </c>
      <c r="F187" s="862" t="str">
        <f t="shared" si="268"/>
        <v/>
      </c>
      <c r="G187" s="863" t="str">
        <f t="shared" si="249"/>
        <v/>
      </c>
      <c r="H187" s="864" t="str">
        <f t="shared" si="250"/>
        <v/>
      </c>
      <c r="I187" s="865" t="str">
        <f t="shared" si="250"/>
        <v/>
      </c>
      <c r="J187" s="863" t="str">
        <f t="shared" si="251"/>
        <v/>
      </c>
      <c r="K187" s="866" t="str">
        <f t="shared" ref="K187:K189" si="269">IF(K155="","",K155)</f>
        <v/>
      </c>
      <c r="L187" s="1293"/>
      <c r="M187" s="847">
        <v>0</v>
      </c>
      <c r="N187" s="1521">
        <v>0</v>
      </c>
      <c r="O187" s="1522" t="str">
        <f t="shared" si="254"/>
        <v/>
      </c>
      <c r="P187" s="1305">
        <f t="shared" si="255"/>
        <v>0</v>
      </c>
      <c r="Q187" s="1304">
        <v>0</v>
      </c>
      <c r="R187" s="392" t="str">
        <f t="shared" si="256"/>
        <v/>
      </c>
      <c r="S187" s="392" t="str">
        <f t="shared" si="257"/>
        <v/>
      </c>
      <c r="T187" s="393">
        <f>ROUND(IF(K187="",0,+Q187/1659*(AB187*12*(1+tab!$D$111+tab!$D$112)-tab!$D$110)*tab!$D$108),-1)</f>
        <v>0</v>
      </c>
      <c r="U187" s="1321" t="str">
        <f t="shared" si="258"/>
        <v/>
      </c>
      <c r="V187" s="376"/>
      <c r="W187" s="952"/>
      <c r="AB187" s="1314" t="str">
        <f t="shared" si="253"/>
        <v/>
      </c>
      <c r="AC187" s="1374">
        <f>tab!$D$101</f>
        <v>0.53</v>
      </c>
      <c r="AD187" s="1313" t="e">
        <f t="shared" si="259"/>
        <v>#VALUE!</v>
      </c>
      <c r="AE187" s="1313" t="e">
        <f t="shared" si="260"/>
        <v>#VALUE!</v>
      </c>
      <c r="AF187" s="1313" t="e">
        <f t="shared" si="261"/>
        <v>#VALUE!</v>
      </c>
      <c r="AG187" s="14">
        <f t="shared" si="262"/>
        <v>0</v>
      </c>
      <c r="AH187" s="1315" t="str">
        <f t="shared" si="263"/>
        <v/>
      </c>
      <c r="AI187" s="14">
        <f t="shared" si="264"/>
        <v>0</v>
      </c>
      <c r="AJ187" s="1316">
        <f t="shared" si="265"/>
        <v>0.5</v>
      </c>
      <c r="AK187" s="6">
        <f t="shared" si="266"/>
        <v>0</v>
      </c>
      <c r="AL187" s="1317">
        <f t="shared" si="267"/>
        <v>0</v>
      </c>
    </row>
    <row r="188" spans="3:38" ht="12.75" customHeight="1" x14ac:dyDescent="0.2">
      <c r="C188" s="35"/>
      <c r="D188" s="862" t="str">
        <f t="shared" si="268"/>
        <v/>
      </c>
      <c r="E188" s="862" t="str">
        <f t="shared" si="268"/>
        <v/>
      </c>
      <c r="F188" s="862" t="str">
        <f t="shared" si="268"/>
        <v/>
      </c>
      <c r="G188" s="863" t="str">
        <f t="shared" si="249"/>
        <v/>
      </c>
      <c r="H188" s="864" t="str">
        <f t="shared" si="250"/>
        <v/>
      </c>
      <c r="I188" s="865" t="str">
        <f t="shared" si="250"/>
        <v/>
      </c>
      <c r="J188" s="863" t="str">
        <f t="shared" si="251"/>
        <v/>
      </c>
      <c r="K188" s="866" t="str">
        <f t="shared" si="269"/>
        <v/>
      </c>
      <c r="L188" s="1293"/>
      <c r="M188" s="847">
        <v>0</v>
      </c>
      <c r="N188" s="1521">
        <v>0</v>
      </c>
      <c r="O188" s="1522" t="str">
        <f t="shared" si="254"/>
        <v/>
      </c>
      <c r="P188" s="1305">
        <f t="shared" si="255"/>
        <v>0</v>
      </c>
      <c r="Q188" s="1304">
        <v>0</v>
      </c>
      <c r="R188" s="392" t="str">
        <f t="shared" si="256"/>
        <v/>
      </c>
      <c r="S188" s="392" t="str">
        <f t="shared" si="257"/>
        <v/>
      </c>
      <c r="T188" s="393">
        <f>ROUND(IF(K188="",0,+Q188/1659*(AB188*12*(1+tab!$D$111+tab!$D$112)-tab!$D$110)*tab!$D$108),-1)</f>
        <v>0</v>
      </c>
      <c r="U188" s="1321" t="str">
        <f t="shared" si="258"/>
        <v/>
      </c>
      <c r="V188" s="376"/>
      <c r="W188" s="952"/>
      <c r="AB188" s="1314" t="str">
        <f t="shared" si="253"/>
        <v/>
      </c>
      <c r="AC188" s="1374">
        <f>tab!$D$101</f>
        <v>0.53</v>
      </c>
      <c r="AD188" s="1313" t="e">
        <f t="shared" si="259"/>
        <v>#VALUE!</v>
      </c>
      <c r="AE188" s="1313" t="e">
        <f t="shared" si="260"/>
        <v>#VALUE!</v>
      </c>
      <c r="AF188" s="1313" t="e">
        <f t="shared" si="261"/>
        <v>#VALUE!</v>
      </c>
      <c r="AG188" s="14">
        <f t="shared" si="262"/>
        <v>0</v>
      </c>
      <c r="AH188" s="1315" t="str">
        <f t="shared" si="263"/>
        <v/>
      </c>
      <c r="AI188" s="14">
        <f t="shared" si="264"/>
        <v>0</v>
      </c>
      <c r="AJ188" s="1316">
        <f t="shared" si="265"/>
        <v>0.5</v>
      </c>
      <c r="AK188" s="6">
        <f t="shared" si="266"/>
        <v>0</v>
      </c>
      <c r="AL188" s="1317">
        <f t="shared" si="267"/>
        <v>0</v>
      </c>
    </row>
    <row r="189" spans="3:38" ht="12.75" customHeight="1" x14ac:dyDescent="0.2">
      <c r="C189" s="35"/>
      <c r="D189" s="862" t="str">
        <f t="shared" si="268"/>
        <v/>
      </c>
      <c r="E189" s="862" t="str">
        <f t="shared" si="268"/>
        <v/>
      </c>
      <c r="F189" s="862" t="str">
        <f t="shared" si="268"/>
        <v/>
      </c>
      <c r="G189" s="863" t="str">
        <f t="shared" si="249"/>
        <v/>
      </c>
      <c r="H189" s="864" t="str">
        <f t="shared" si="250"/>
        <v/>
      </c>
      <c r="I189" s="865" t="str">
        <f t="shared" si="250"/>
        <v/>
      </c>
      <c r="J189" s="863" t="str">
        <f t="shared" si="251"/>
        <v/>
      </c>
      <c r="K189" s="866" t="str">
        <f t="shared" si="269"/>
        <v/>
      </c>
      <c r="L189" s="1293"/>
      <c r="M189" s="847">
        <v>0</v>
      </c>
      <c r="N189" s="1521">
        <v>0</v>
      </c>
      <c r="O189" s="1522" t="str">
        <f t="shared" si="254"/>
        <v/>
      </c>
      <c r="P189" s="1305">
        <f t="shared" si="255"/>
        <v>0</v>
      </c>
      <c r="Q189" s="1304">
        <v>0</v>
      </c>
      <c r="R189" s="392" t="str">
        <f t="shared" si="256"/>
        <v/>
      </c>
      <c r="S189" s="392" t="str">
        <f t="shared" si="257"/>
        <v/>
      </c>
      <c r="T189" s="393">
        <f>ROUND(IF(K189="",0,+Q189/1659*(AB189*12*(1+tab!$D$111+tab!$D$112)-tab!$D$110)*tab!$D$108),-1)</f>
        <v>0</v>
      </c>
      <c r="U189" s="1321" t="str">
        <f t="shared" si="258"/>
        <v/>
      </c>
      <c r="V189" s="376"/>
      <c r="W189" s="952"/>
      <c r="AB189" s="1314" t="str">
        <f t="shared" si="253"/>
        <v/>
      </c>
      <c r="AC189" s="1374">
        <f>tab!$D$101</f>
        <v>0.53</v>
      </c>
      <c r="AD189" s="1313" t="e">
        <f t="shared" si="259"/>
        <v>#VALUE!</v>
      </c>
      <c r="AE189" s="1313" t="e">
        <f t="shared" si="260"/>
        <v>#VALUE!</v>
      </c>
      <c r="AF189" s="1313" t="e">
        <f t="shared" si="261"/>
        <v>#VALUE!</v>
      </c>
      <c r="AG189" s="14">
        <f t="shared" si="262"/>
        <v>0</v>
      </c>
      <c r="AH189" s="1315" t="str">
        <f t="shared" si="263"/>
        <v/>
      </c>
      <c r="AI189" s="14">
        <f t="shared" si="264"/>
        <v>0</v>
      </c>
      <c r="AJ189" s="1316">
        <f t="shared" si="265"/>
        <v>0.5</v>
      </c>
      <c r="AK189" s="6">
        <f t="shared" si="266"/>
        <v>0</v>
      </c>
      <c r="AL189" s="1317">
        <f t="shared" si="267"/>
        <v>0</v>
      </c>
    </row>
    <row r="190" spans="3:38" ht="12.75" customHeight="1" x14ac:dyDescent="0.2">
      <c r="C190" s="35"/>
      <c r="D190" s="862" t="str">
        <f t="shared" ref="D190:F194" si="270">IF(D158=0,"",D158)</f>
        <v/>
      </c>
      <c r="E190" s="862" t="str">
        <f t="shared" si="270"/>
        <v/>
      </c>
      <c r="F190" s="862" t="str">
        <f t="shared" si="270"/>
        <v/>
      </c>
      <c r="G190" s="863" t="str">
        <f t="shared" si="249"/>
        <v/>
      </c>
      <c r="H190" s="864" t="str">
        <f t="shared" si="250"/>
        <v/>
      </c>
      <c r="I190" s="865" t="str">
        <f t="shared" si="250"/>
        <v/>
      </c>
      <c r="J190" s="863" t="str">
        <f t="shared" si="251"/>
        <v/>
      </c>
      <c r="K190" s="866" t="str">
        <f t="shared" ref="K190:K194" si="271">IF(K158="","",K158)</f>
        <v/>
      </c>
      <c r="L190" s="1293"/>
      <c r="M190" s="847">
        <v>0</v>
      </c>
      <c r="N190" s="1521">
        <v>0</v>
      </c>
      <c r="O190" s="1522" t="str">
        <f t="shared" si="254"/>
        <v/>
      </c>
      <c r="P190" s="1305">
        <f t="shared" si="255"/>
        <v>0</v>
      </c>
      <c r="Q190" s="1304">
        <v>0</v>
      </c>
      <c r="R190" s="392" t="str">
        <f t="shared" si="256"/>
        <v/>
      </c>
      <c r="S190" s="392" t="str">
        <f t="shared" si="257"/>
        <v/>
      </c>
      <c r="T190" s="393">
        <f>ROUND(IF(K190="",0,+Q190/1659*(AB190*12*(1+tab!$D$111+tab!$D$112)-tab!$D$110)*tab!$D$108),-1)</f>
        <v>0</v>
      </c>
      <c r="U190" s="1321" t="str">
        <f t="shared" si="258"/>
        <v/>
      </c>
      <c r="V190" s="376"/>
      <c r="W190" s="952"/>
      <c r="AB190" s="1314" t="str">
        <f t="shared" si="253"/>
        <v/>
      </c>
      <c r="AC190" s="1374">
        <f>tab!$D$101</f>
        <v>0.53</v>
      </c>
      <c r="AD190" s="1313" t="e">
        <f t="shared" si="259"/>
        <v>#VALUE!</v>
      </c>
      <c r="AE190" s="1313" t="e">
        <f t="shared" si="260"/>
        <v>#VALUE!</v>
      </c>
      <c r="AF190" s="1313" t="e">
        <f t="shared" si="261"/>
        <v>#VALUE!</v>
      </c>
      <c r="AG190" s="14">
        <f t="shared" si="262"/>
        <v>0</v>
      </c>
      <c r="AH190" s="1315" t="str">
        <f t="shared" si="263"/>
        <v/>
      </c>
      <c r="AI190" s="14">
        <f t="shared" si="264"/>
        <v>0</v>
      </c>
      <c r="AJ190" s="1316">
        <f t="shared" si="265"/>
        <v>0.5</v>
      </c>
      <c r="AK190" s="6">
        <f t="shared" si="266"/>
        <v>0</v>
      </c>
      <c r="AL190" s="1317">
        <f t="shared" si="267"/>
        <v>0</v>
      </c>
    </row>
    <row r="191" spans="3:38" ht="12.75" customHeight="1" x14ac:dyDescent="0.2">
      <c r="C191" s="35"/>
      <c r="D191" s="862" t="str">
        <f t="shared" si="270"/>
        <v/>
      </c>
      <c r="E191" s="862" t="str">
        <f t="shared" si="270"/>
        <v/>
      </c>
      <c r="F191" s="862" t="str">
        <f t="shared" si="270"/>
        <v/>
      </c>
      <c r="G191" s="863" t="str">
        <f t="shared" si="249"/>
        <v/>
      </c>
      <c r="H191" s="864" t="str">
        <f t="shared" si="250"/>
        <v/>
      </c>
      <c r="I191" s="865" t="str">
        <f t="shared" si="250"/>
        <v/>
      </c>
      <c r="J191" s="863" t="str">
        <f t="shared" si="251"/>
        <v/>
      </c>
      <c r="K191" s="866" t="str">
        <f t="shared" si="271"/>
        <v/>
      </c>
      <c r="L191" s="1293"/>
      <c r="M191" s="847">
        <v>0</v>
      </c>
      <c r="N191" s="1521">
        <v>0</v>
      </c>
      <c r="O191" s="1522" t="str">
        <f t="shared" si="254"/>
        <v/>
      </c>
      <c r="P191" s="1305">
        <f t="shared" si="255"/>
        <v>0</v>
      </c>
      <c r="Q191" s="1304">
        <v>0</v>
      </c>
      <c r="R191" s="392" t="str">
        <f t="shared" si="256"/>
        <v/>
      </c>
      <c r="S191" s="392" t="str">
        <f t="shared" si="257"/>
        <v/>
      </c>
      <c r="T191" s="393">
        <f>ROUND(IF(K191="",0,+Q191/1659*(AB191*12*(1+tab!$D$111+tab!$D$112)-tab!$D$110)*tab!$D$108),-1)</f>
        <v>0</v>
      </c>
      <c r="U191" s="1321" t="str">
        <f t="shared" si="258"/>
        <v/>
      </c>
      <c r="V191" s="376"/>
      <c r="W191" s="952"/>
      <c r="AB191" s="1314" t="str">
        <f t="shared" si="253"/>
        <v/>
      </c>
      <c r="AC191" s="1374">
        <f>tab!$D$101</f>
        <v>0.53</v>
      </c>
      <c r="AD191" s="1313" t="e">
        <f t="shared" si="259"/>
        <v>#VALUE!</v>
      </c>
      <c r="AE191" s="1313" t="e">
        <f t="shared" si="260"/>
        <v>#VALUE!</v>
      </c>
      <c r="AF191" s="1313" t="e">
        <f t="shared" si="261"/>
        <v>#VALUE!</v>
      </c>
      <c r="AG191" s="14">
        <f t="shared" si="262"/>
        <v>0</v>
      </c>
      <c r="AH191" s="1315" t="str">
        <f t="shared" si="263"/>
        <v/>
      </c>
      <c r="AI191" s="14">
        <f t="shared" si="264"/>
        <v>0</v>
      </c>
      <c r="AJ191" s="1316">
        <f t="shared" si="265"/>
        <v>0.5</v>
      </c>
      <c r="AK191" s="6">
        <f t="shared" si="266"/>
        <v>0</v>
      </c>
      <c r="AL191" s="1317">
        <f t="shared" si="267"/>
        <v>0</v>
      </c>
    </row>
    <row r="192" spans="3:38" ht="12.75" customHeight="1" x14ac:dyDescent="0.2">
      <c r="C192" s="35"/>
      <c r="D192" s="862" t="str">
        <f t="shared" si="270"/>
        <v/>
      </c>
      <c r="E192" s="862" t="str">
        <f t="shared" si="270"/>
        <v/>
      </c>
      <c r="F192" s="862" t="str">
        <f t="shared" si="270"/>
        <v/>
      </c>
      <c r="G192" s="863" t="str">
        <f t="shared" si="249"/>
        <v/>
      </c>
      <c r="H192" s="864" t="str">
        <f t="shared" si="250"/>
        <v/>
      </c>
      <c r="I192" s="865" t="str">
        <f t="shared" si="250"/>
        <v/>
      </c>
      <c r="J192" s="863" t="str">
        <f t="shared" si="251"/>
        <v/>
      </c>
      <c r="K192" s="866" t="str">
        <f t="shared" si="271"/>
        <v/>
      </c>
      <c r="L192" s="1293"/>
      <c r="M192" s="847">
        <v>0</v>
      </c>
      <c r="N192" s="1521">
        <v>0</v>
      </c>
      <c r="O192" s="1522" t="str">
        <f t="shared" si="254"/>
        <v/>
      </c>
      <c r="P192" s="1305">
        <f t="shared" si="255"/>
        <v>0</v>
      </c>
      <c r="Q192" s="1304">
        <v>0</v>
      </c>
      <c r="R192" s="392" t="str">
        <f t="shared" si="256"/>
        <v/>
      </c>
      <c r="S192" s="392" t="str">
        <f t="shared" si="257"/>
        <v/>
      </c>
      <c r="T192" s="393">
        <f>ROUND(IF(K192="",0,+Q192/1659*(AB192*12*(1+tab!$D$111+tab!$D$112)-tab!$D$110)*tab!$D$108),-1)</f>
        <v>0</v>
      </c>
      <c r="U192" s="1321" t="str">
        <f t="shared" si="258"/>
        <v/>
      </c>
      <c r="V192" s="376"/>
      <c r="W192" s="952"/>
      <c r="AB192" s="1314" t="str">
        <f t="shared" si="253"/>
        <v/>
      </c>
      <c r="AC192" s="1374">
        <f>tab!$D$101</f>
        <v>0.53</v>
      </c>
      <c r="AD192" s="1313" t="e">
        <f t="shared" si="259"/>
        <v>#VALUE!</v>
      </c>
      <c r="AE192" s="1313" t="e">
        <f t="shared" si="260"/>
        <v>#VALUE!</v>
      </c>
      <c r="AF192" s="1313" t="e">
        <f t="shared" si="261"/>
        <v>#VALUE!</v>
      </c>
      <c r="AG192" s="14">
        <f t="shared" si="262"/>
        <v>0</v>
      </c>
      <c r="AH192" s="1315" t="str">
        <f t="shared" si="263"/>
        <v/>
      </c>
      <c r="AI192" s="14">
        <f t="shared" si="264"/>
        <v>0</v>
      </c>
      <c r="AJ192" s="1316">
        <f t="shared" si="265"/>
        <v>0.5</v>
      </c>
      <c r="AK192" s="6">
        <f t="shared" si="266"/>
        <v>0</v>
      </c>
      <c r="AL192" s="1317">
        <f t="shared" si="267"/>
        <v>0</v>
      </c>
    </row>
    <row r="193" spans="3:46" ht="12.75" customHeight="1" x14ac:dyDescent="0.2">
      <c r="C193" s="35"/>
      <c r="D193" s="862" t="str">
        <f t="shared" si="270"/>
        <v/>
      </c>
      <c r="E193" s="862" t="str">
        <f t="shared" si="270"/>
        <v/>
      </c>
      <c r="F193" s="862" t="str">
        <f t="shared" si="270"/>
        <v/>
      </c>
      <c r="G193" s="863" t="str">
        <f t="shared" si="249"/>
        <v/>
      </c>
      <c r="H193" s="864" t="str">
        <f t="shared" si="250"/>
        <v/>
      </c>
      <c r="I193" s="865" t="str">
        <f t="shared" si="250"/>
        <v/>
      </c>
      <c r="J193" s="863" t="str">
        <f t="shared" si="251"/>
        <v/>
      </c>
      <c r="K193" s="866" t="str">
        <f t="shared" si="271"/>
        <v/>
      </c>
      <c r="L193" s="1293"/>
      <c r="M193" s="847">
        <v>0</v>
      </c>
      <c r="N193" s="1521">
        <v>0</v>
      </c>
      <c r="O193" s="1522" t="str">
        <f t="shared" si="254"/>
        <v/>
      </c>
      <c r="P193" s="1305">
        <f t="shared" si="255"/>
        <v>0</v>
      </c>
      <c r="Q193" s="1304">
        <v>0</v>
      </c>
      <c r="R193" s="392" t="str">
        <f t="shared" si="256"/>
        <v/>
      </c>
      <c r="S193" s="392" t="str">
        <f t="shared" si="257"/>
        <v/>
      </c>
      <c r="T193" s="393">
        <f>ROUND(IF(K193="",0,+Q193/1659*(AB193*12*(1+tab!$D$111+tab!$D$112)-tab!$D$110)*tab!$D$108),-1)</f>
        <v>0</v>
      </c>
      <c r="U193" s="1321" t="str">
        <f t="shared" si="258"/>
        <v/>
      </c>
      <c r="V193" s="376"/>
      <c r="W193" s="952"/>
      <c r="AB193" s="1314" t="str">
        <f t="shared" si="253"/>
        <v/>
      </c>
      <c r="AC193" s="1374">
        <f>tab!$D$101</f>
        <v>0.53</v>
      </c>
      <c r="AD193" s="1313" t="e">
        <f t="shared" si="259"/>
        <v>#VALUE!</v>
      </c>
      <c r="AE193" s="1313" t="e">
        <f t="shared" si="260"/>
        <v>#VALUE!</v>
      </c>
      <c r="AF193" s="1313" t="e">
        <f t="shared" si="261"/>
        <v>#VALUE!</v>
      </c>
      <c r="AG193" s="14">
        <f t="shared" si="262"/>
        <v>0</v>
      </c>
      <c r="AH193" s="1315" t="str">
        <f t="shared" si="263"/>
        <v/>
      </c>
      <c r="AI193" s="14">
        <f t="shared" si="264"/>
        <v>0</v>
      </c>
      <c r="AJ193" s="1316">
        <f t="shared" si="265"/>
        <v>0.5</v>
      </c>
      <c r="AK193" s="6">
        <f t="shared" si="266"/>
        <v>0</v>
      </c>
      <c r="AL193" s="1317">
        <f t="shared" si="267"/>
        <v>0</v>
      </c>
    </row>
    <row r="194" spans="3:46" ht="12.75" customHeight="1" x14ac:dyDescent="0.2">
      <c r="C194" s="35"/>
      <c r="D194" s="862" t="str">
        <f t="shared" si="270"/>
        <v/>
      </c>
      <c r="E194" s="862" t="str">
        <f t="shared" si="270"/>
        <v/>
      </c>
      <c r="F194" s="862" t="str">
        <f t="shared" si="270"/>
        <v/>
      </c>
      <c r="G194" s="863" t="str">
        <f t="shared" si="249"/>
        <v/>
      </c>
      <c r="H194" s="864" t="str">
        <f t="shared" si="250"/>
        <v/>
      </c>
      <c r="I194" s="865" t="str">
        <f t="shared" si="250"/>
        <v/>
      </c>
      <c r="J194" s="863" t="str">
        <f t="shared" si="251"/>
        <v/>
      </c>
      <c r="K194" s="866" t="str">
        <f t="shared" si="271"/>
        <v/>
      </c>
      <c r="L194" s="1293"/>
      <c r="M194" s="847">
        <v>0</v>
      </c>
      <c r="N194" s="1521">
        <v>0</v>
      </c>
      <c r="O194" s="1522" t="str">
        <f t="shared" si="254"/>
        <v/>
      </c>
      <c r="P194" s="1305">
        <f t="shared" si="255"/>
        <v>0</v>
      </c>
      <c r="Q194" s="1304">
        <v>0</v>
      </c>
      <c r="R194" s="392" t="str">
        <f t="shared" si="256"/>
        <v/>
      </c>
      <c r="S194" s="392" t="str">
        <f t="shared" si="257"/>
        <v/>
      </c>
      <c r="T194" s="393">
        <f>ROUND(IF(K194="",0,+Q194/1659*(AB194*12*(1+tab!$D$111+tab!$D$112)-tab!$D$110)*tab!$D$108),-1)</f>
        <v>0</v>
      </c>
      <c r="U194" s="1321" t="str">
        <f t="shared" si="258"/>
        <v/>
      </c>
      <c r="V194" s="376"/>
      <c r="W194" s="952"/>
      <c r="AB194" s="1314" t="str">
        <f t="shared" si="253"/>
        <v/>
      </c>
      <c r="AC194" s="1374">
        <f>tab!$D$101</f>
        <v>0.53</v>
      </c>
      <c r="AD194" s="1313" t="e">
        <f t="shared" si="259"/>
        <v>#VALUE!</v>
      </c>
      <c r="AE194" s="1313" t="e">
        <f t="shared" si="260"/>
        <v>#VALUE!</v>
      </c>
      <c r="AF194" s="1313" t="e">
        <f t="shared" si="261"/>
        <v>#VALUE!</v>
      </c>
      <c r="AG194" s="14">
        <f t="shared" si="262"/>
        <v>0</v>
      </c>
      <c r="AH194" s="1315" t="str">
        <f t="shared" si="263"/>
        <v/>
      </c>
      <c r="AI194" s="14">
        <f t="shared" si="264"/>
        <v>0</v>
      </c>
      <c r="AJ194" s="1316">
        <f t="shared" si="265"/>
        <v>0.5</v>
      </c>
      <c r="AK194" s="6">
        <f t="shared" si="266"/>
        <v>0</v>
      </c>
      <c r="AL194" s="1317">
        <f t="shared" si="267"/>
        <v>0</v>
      </c>
    </row>
    <row r="195" spans="3:46" x14ac:dyDescent="0.2">
      <c r="C195" s="35"/>
      <c r="D195" s="377"/>
      <c r="E195" s="377"/>
      <c r="F195" s="377"/>
      <c r="G195" s="192"/>
      <c r="H195" s="378"/>
      <c r="I195" s="192"/>
      <c r="J195" s="379"/>
      <c r="K195" s="394">
        <f>SUM(K175:K194)</f>
        <v>0</v>
      </c>
      <c r="L195" s="1284"/>
      <c r="M195" s="1303">
        <f>SUM(M175:M194)</f>
        <v>0</v>
      </c>
      <c r="N195" s="1303">
        <f t="shared" ref="N195" si="272">SUM(N175:N194)</f>
        <v>0</v>
      </c>
      <c r="O195" s="1303">
        <f t="shared" ref="O195" si="273">SUM(O175:O194)</f>
        <v>0</v>
      </c>
      <c r="P195" s="1303">
        <f t="shared" ref="P195" si="274">SUM(P175:P194)</f>
        <v>0</v>
      </c>
      <c r="Q195" s="1303">
        <f t="shared" ref="Q195" si="275">SUM(Q175:Q194)</f>
        <v>0</v>
      </c>
      <c r="R195" s="1319">
        <f t="shared" ref="R195" si="276">SUM(R175:R194)</f>
        <v>0</v>
      </c>
      <c r="S195" s="1319">
        <f t="shared" ref="S195" si="277">SUM(S175:S194)</f>
        <v>0</v>
      </c>
      <c r="T195" s="1319">
        <f t="shared" ref="T195" si="278">SUM(T175:T194)</f>
        <v>0</v>
      </c>
      <c r="U195" s="1320">
        <f t="shared" ref="U195" si="279">SUM(U175:U194)</f>
        <v>0</v>
      </c>
      <c r="V195" s="361"/>
      <c r="W195" s="952"/>
      <c r="AB195" s="1314">
        <f>SUM(AB175:AB194)</f>
        <v>0</v>
      </c>
      <c r="AL195" s="1317">
        <f>SUM(AL175:AL194)</f>
        <v>0</v>
      </c>
    </row>
    <row r="196" spans="3:46" x14ac:dyDescent="0.2">
      <c r="C196" s="35"/>
      <c r="D196" s="187"/>
      <c r="E196" s="187"/>
      <c r="F196" s="187"/>
      <c r="G196" s="186"/>
      <c r="H196" s="193"/>
      <c r="I196" s="186"/>
      <c r="J196" s="361"/>
      <c r="K196" s="362"/>
      <c r="L196" s="1290"/>
      <c r="M196" s="362"/>
      <c r="N196" s="361"/>
      <c r="O196" s="361"/>
      <c r="P196" s="380"/>
      <c r="Q196" s="380"/>
      <c r="R196" s="380"/>
      <c r="S196" s="380"/>
      <c r="T196" s="365"/>
      <c r="U196" s="381"/>
      <c r="V196" s="361"/>
      <c r="W196" s="952"/>
    </row>
    <row r="197" spans="3:46" x14ac:dyDescent="0.2">
      <c r="W197" s="952"/>
    </row>
    <row r="198" spans="3:46" s="7" customFormat="1" x14ac:dyDescent="0.2">
      <c r="D198" s="276"/>
      <c r="E198" s="276"/>
      <c r="F198" s="276"/>
      <c r="G198" s="277"/>
      <c r="H198" s="278"/>
      <c r="I198" s="279"/>
      <c r="J198" s="279"/>
      <c r="K198" s="281"/>
      <c r="L198" s="1295"/>
      <c r="M198" s="286"/>
      <c r="O198" s="287"/>
      <c r="T198" s="229"/>
      <c r="U198" s="288"/>
      <c r="W198" s="1377"/>
      <c r="AC198" s="277"/>
      <c r="AD198" s="285"/>
      <c r="AL198" s="277"/>
      <c r="AM198" s="285"/>
      <c r="AT198" s="6"/>
    </row>
    <row r="199" spans="3:46" x14ac:dyDescent="0.2">
      <c r="C199" s="6" t="s">
        <v>145</v>
      </c>
      <c r="E199" s="256" t="str">
        <f>tab!J2</f>
        <v>2020/21</v>
      </c>
      <c r="W199" s="952"/>
    </row>
    <row r="200" spans="3:46" x14ac:dyDescent="0.2">
      <c r="C200" s="6" t="s">
        <v>146</v>
      </c>
      <c r="E200" s="256">
        <f>+tab!K3</f>
        <v>44105</v>
      </c>
      <c r="W200" s="952"/>
    </row>
    <row r="201" spans="3:46" s="7" customFormat="1" x14ac:dyDescent="0.2">
      <c r="D201" s="276"/>
      <c r="E201" s="276"/>
      <c r="F201" s="276"/>
      <c r="G201" s="277"/>
      <c r="H201" s="278"/>
      <c r="I201" s="279"/>
      <c r="J201" s="279"/>
      <c r="K201" s="281"/>
      <c r="L201" s="1295"/>
      <c r="M201" s="286"/>
      <c r="O201" s="287"/>
      <c r="T201" s="229"/>
      <c r="U201" s="288"/>
      <c r="W201" s="1377"/>
      <c r="AC201" s="277"/>
      <c r="AD201" s="285"/>
      <c r="AL201" s="277"/>
      <c r="AM201" s="285"/>
      <c r="AT201" s="6"/>
    </row>
    <row r="202" spans="3:46" ht="12.75" customHeight="1" x14ac:dyDescent="0.2">
      <c r="C202" s="35"/>
      <c r="D202" s="187"/>
      <c r="E202" s="93"/>
      <c r="F202" s="187"/>
      <c r="G202" s="186"/>
      <c r="H202" s="193"/>
      <c r="I202" s="361"/>
      <c r="J202" s="361"/>
      <c r="K202" s="362"/>
      <c r="L202" s="1290"/>
      <c r="M202" s="363"/>
      <c r="N202" s="35"/>
      <c r="O202" s="364"/>
      <c r="P202" s="35"/>
      <c r="Q202" s="35"/>
      <c r="R202" s="35"/>
      <c r="S202" s="35"/>
      <c r="T202" s="365"/>
      <c r="U202" s="366"/>
      <c r="V202" s="35"/>
      <c r="W202" s="952"/>
      <c r="X202" s="952"/>
      <c r="AC202" s="1306"/>
      <c r="AD202" s="1307"/>
      <c r="AE202" s="1306"/>
      <c r="AF202" s="1306"/>
      <c r="AG202" s="1306"/>
      <c r="AH202" s="1308"/>
      <c r="AI202" s="1309"/>
      <c r="AJ202" s="1310"/>
      <c r="AK202" s="1311"/>
      <c r="AL202" s="1312"/>
      <c r="AM202" s="259"/>
      <c r="AT202" s="7"/>
    </row>
    <row r="203" spans="3:46" s="399" customFormat="1" ht="12.75" customHeight="1" x14ac:dyDescent="0.2">
      <c r="C203" s="1281"/>
      <c r="D203" s="1277" t="s">
        <v>147</v>
      </c>
      <c r="E203" s="1278"/>
      <c r="F203" s="1278"/>
      <c r="G203" s="1278"/>
      <c r="H203" s="1278"/>
      <c r="I203" s="1278"/>
      <c r="J203" s="1278"/>
      <c r="K203" s="1278"/>
      <c r="L203" s="1286"/>
      <c r="M203" s="1327" t="s">
        <v>817</v>
      </c>
      <c r="N203" s="1328"/>
      <c r="O203" s="1329"/>
      <c r="P203" s="1329"/>
      <c r="Q203" s="1328"/>
      <c r="R203" s="1330" t="s">
        <v>818</v>
      </c>
      <c r="S203" s="1331"/>
      <c r="T203" s="1331"/>
      <c r="U203" s="1331"/>
      <c r="V203" s="1332"/>
      <c r="W203" s="1375"/>
      <c r="X203" s="1334"/>
      <c r="Y203" s="1335"/>
      <c r="Z203" s="1336"/>
      <c r="AA203" s="1336"/>
      <c r="AB203" s="1337"/>
      <c r="AC203" s="1338"/>
      <c r="AD203" s="1339"/>
      <c r="AE203" s="1338"/>
      <c r="AF203" s="1340"/>
      <c r="AG203" s="1340"/>
      <c r="AH203" s="1341"/>
      <c r="AI203" s="1342"/>
      <c r="AJ203" s="1341"/>
      <c r="AK203" s="1343"/>
      <c r="AL203" s="1343"/>
      <c r="AN203" s="268"/>
      <c r="AO203" s="268"/>
    </row>
    <row r="204" spans="3:46" ht="12.75" customHeight="1" x14ac:dyDescent="0.2">
      <c r="C204" s="367"/>
      <c r="D204" s="383" t="s">
        <v>148</v>
      </c>
      <c r="E204" s="383" t="s">
        <v>149</v>
      </c>
      <c r="F204" s="383" t="s">
        <v>150</v>
      </c>
      <c r="G204" s="384" t="s">
        <v>151</v>
      </c>
      <c r="H204" s="385" t="s">
        <v>152</v>
      </c>
      <c r="I204" s="384" t="s">
        <v>115</v>
      </c>
      <c r="J204" s="384" t="s">
        <v>153</v>
      </c>
      <c r="K204" s="386" t="s">
        <v>154</v>
      </c>
      <c r="L204" s="1291"/>
      <c r="M204" s="1354" t="s">
        <v>819</v>
      </c>
      <c r="N204" s="1355" t="s">
        <v>820</v>
      </c>
      <c r="O204" s="1356" t="s">
        <v>821</v>
      </c>
      <c r="P204" s="1357" t="s">
        <v>822</v>
      </c>
      <c r="Q204" s="1355" t="s">
        <v>823</v>
      </c>
      <c r="R204" s="1356" t="s">
        <v>155</v>
      </c>
      <c r="S204" s="1354" t="s">
        <v>824</v>
      </c>
      <c r="T204" s="1354" t="s">
        <v>825</v>
      </c>
      <c r="U204" s="1354" t="s">
        <v>155</v>
      </c>
      <c r="V204" s="1358"/>
      <c r="W204" s="1376"/>
      <c r="X204" s="1360"/>
      <c r="Y204" s="1361"/>
      <c r="Z204" s="1362"/>
      <c r="AA204" s="1362"/>
      <c r="AB204" s="1371" t="s">
        <v>290</v>
      </c>
      <c r="AC204" s="1372" t="s">
        <v>826</v>
      </c>
      <c r="AD204" s="1373" t="s">
        <v>827</v>
      </c>
      <c r="AE204" s="1373" t="s">
        <v>827</v>
      </c>
      <c r="AF204" s="1373" t="s">
        <v>828</v>
      </c>
      <c r="AG204" s="1373" t="s">
        <v>823</v>
      </c>
      <c r="AH204" s="1373" t="s">
        <v>829</v>
      </c>
      <c r="AI204" s="1373" t="s">
        <v>830</v>
      </c>
      <c r="AJ204" s="1373" t="s">
        <v>831</v>
      </c>
      <c r="AK204" s="1373" t="s">
        <v>157</v>
      </c>
      <c r="AL204" s="1165" t="s">
        <v>303</v>
      </c>
      <c r="AM204" s="6"/>
      <c r="AN204" s="268"/>
      <c r="AO204" s="267"/>
    </row>
    <row r="205" spans="3:46" ht="12.75" customHeight="1" x14ac:dyDescent="0.2">
      <c r="C205" s="367"/>
      <c r="D205" s="388"/>
      <c r="E205" s="383"/>
      <c r="F205" s="389"/>
      <c r="G205" s="384" t="s">
        <v>159</v>
      </c>
      <c r="H205" s="385" t="s">
        <v>160</v>
      </c>
      <c r="I205" s="384"/>
      <c r="J205" s="384"/>
      <c r="K205" s="386"/>
      <c r="L205" s="1291"/>
      <c r="M205" s="1367" t="s">
        <v>832</v>
      </c>
      <c r="N205" s="1355" t="s">
        <v>833</v>
      </c>
      <c r="O205" s="1356" t="s">
        <v>834</v>
      </c>
      <c r="P205" s="1357" t="s">
        <v>95</v>
      </c>
      <c r="Q205" s="1355" t="s">
        <v>835</v>
      </c>
      <c r="R205" s="1356" t="s">
        <v>836</v>
      </c>
      <c r="S205" s="1368" t="s">
        <v>837</v>
      </c>
      <c r="T205" s="1368" t="s">
        <v>838</v>
      </c>
      <c r="U205" s="1354" t="s">
        <v>95</v>
      </c>
      <c r="V205" s="1358"/>
      <c r="W205" s="1376"/>
      <c r="X205" s="1360"/>
      <c r="Y205" s="1369"/>
      <c r="Z205" s="1362"/>
      <c r="AA205" s="1362"/>
      <c r="AB205" s="1373" t="s">
        <v>839</v>
      </c>
      <c r="AC205" s="1374">
        <f>tab!$D$101</f>
        <v>0.53</v>
      </c>
      <c r="AD205" s="1373" t="s">
        <v>840</v>
      </c>
      <c r="AE205" s="1373" t="s">
        <v>841</v>
      </c>
      <c r="AF205" s="1373" t="s">
        <v>842</v>
      </c>
      <c r="AG205" s="1373" t="s">
        <v>835</v>
      </c>
      <c r="AH205" s="1373" t="s">
        <v>843</v>
      </c>
      <c r="AI205" s="1373" t="s">
        <v>843</v>
      </c>
      <c r="AJ205" s="1373" t="s">
        <v>844</v>
      </c>
      <c r="AK205" s="1373"/>
      <c r="AL205" s="1373" t="s">
        <v>156</v>
      </c>
      <c r="AM205" s="6"/>
      <c r="AO205" s="269"/>
    </row>
    <row r="206" spans="3:46" ht="12.75" customHeight="1" x14ac:dyDescent="0.2">
      <c r="C206" s="35"/>
      <c r="D206" s="187"/>
      <c r="E206" s="187"/>
      <c r="F206" s="187"/>
      <c r="G206" s="186"/>
      <c r="H206" s="193"/>
      <c r="I206" s="368"/>
      <c r="J206" s="368"/>
      <c r="K206" s="369"/>
      <c r="L206" s="1292"/>
      <c r="M206" s="369"/>
      <c r="N206" s="370"/>
      <c r="O206" s="371"/>
      <c r="P206" s="372"/>
      <c r="Q206" s="372"/>
      <c r="R206" s="372"/>
      <c r="S206" s="372"/>
      <c r="T206" s="373"/>
      <c r="U206" s="374"/>
      <c r="V206" s="370"/>
      <c r="W206" s="952"/>
      <c r="AC206" s="6"/>
      <c r="AD206" s="6"/>
      <c r="AL206" s="6"/>
      <c r="AM206" s="6"/>
      <c r="AO206" s="269"/>
    </row>
    <row r="207" spans="3:46" ht="12.75" customHeight="1" x14ac:dyDescent="0.2">
      <c r="C207" s="35"/>
      <c r="D207" s="862" t="str">
        <f t="shared" ref="D207:F218" si="280">IF(D175=0,"",D175)</f>
        <v/>
      </c>
      <c r="E207" s="862" t="str">
        <f t="shared" si="280"/>
        <v/>
      </c>
      <c r="F207" s="862" t="str">
        <f t="shared" si="280"/>
        <v/>
      </c>
      <c r="G207" s="863" t="str">
        <f t="shared" ref="G207:G226" si="281">IF(G175="","",G175+1)</f>
        <v/>
      </c>
      <c r="H207" s="864" t="str">
        <f t="shared" ref="H207:I226" si="282">IF(H175=0,"",H175)</f>
        <v/>
      </c>
      <c r="I207" s="865" t="str">
        <f>IF(I175=0,"",I175)</f>
        <v/>
      </c>
      <c r="J207" s="863" t="str">
        <f t="shared" ref="J207:J226" si="283">IF(E207="","",IF(J175&lt;VLOOKUP(I207,tabelsalaris2015VO,19,FALSE),J175+1,J175))</f>
        <v/>
      </c>
      <c r="K207" s="866" t="str">
        <f t="shared" ref="K207:K218" si="284">IF(K175="","",K175)</f>
        <v/>
      </c>
      <c r="L207" s="1293"/>
      <c r="M207" s="847">
        <v>0</v>
      </c>
      <c r="N207" s="1521">
        <v>0</v>
      </c>
      <c r="O207" s="1522" t="str">
        <f>IF(K207="","",K207*50)</f>
        <v/>
      </c>
      <c r="P207" s="1305">
        <f>SUM(M207:O207)</f>
        <v>0</v>
      </c>
      <c r="Q207" s="1304">
        <v>0</v>
      </c>
      <c r="R207" s="392" t="str">
        <f>IF(K207="","",(1659*K207-P207)*AE207)</f>
        <v/>
      </c>
      <c r="S207" s="392" t="str">
        <f>IF(K207="","",P207*AF207+AD207*(AH207+AI207*(1-AJ207)))</f>
        <v/>
      </c>
      <c r="T207" s="393">
        <f>ROUND(IF(K207="",0,+Q207/1659*(AB207*12*(1+tab!$D$111+tab!$D$112)-tab!$D$110)*tab!$D$108),-1)</f>
        <v>0</v>
      </c>
      <c r="U207" s="1321" t="str">
        <f>IF(K207="","",IF(E207=0,0,(R207+S207+T207)))</f>
        <v/>
      </c>
      <c r="V207" s="376"/>
      <c r="W207" s="952"/>
      <c r="AB207" s="1314" t="str">
        <f t="shared" ref="AB207:AB226" si="285">IF(I207="","",VLOOKUP(I207,tabelsalaris2016VO,J207+2,FALSE)*5/12+VLOOKUP(I207,tabelsalaris2016VO,J207+2,FALSE)*7/12)</f>
        <v/>
      </c>
      <c r="AC207" s="1374">
        <f>tab!$D$101</f>
        <v>0.53</v>
      </c>
      <c r="AD207" s="1313" t="e">
        <f>AB207*12/1659</f>
        <v>#VALUE!</v>
      </c>
      <c r="AE207" s="1313" t="e">
        <f>AB207*12*(1+AC207)/1659</f>
        <v>#VALUE!</v>
      </c>
      <c r="AF207" s="1313" t="e">
        <f>+AE207-AD207</f>
        <v>#VALUE!</v>
      </c>
      <c r="AG207" s="14">
        <f>Q207</f>
        <v>0</v>
      </c>
      <c r="AH207" s="1315" t="str">
        <f>O207</f>
        <v/>
      </c>
      <c r="AI207" s="14">
        <f>(M207+N207)</f>
        <v>0</v>
      </c>
      <c r="AJ207" s="1316">
        <f>IF(I207&gt;8,50%,40%)</f>
        <v>0.5</v>
      </c>
      <c r="AK207" s="6">
        <f>IF(G207&lt;25,0,IF(G207=25,25,IF(G207&lt;40,0,IF(G207=40,40,IF(G207&gt;=40,0)))))</f>
        <v>0</v>
      </c>
      <c r="AL207" s="1317">
        <f>IF(AK207=25,AB207*1.08*K207/2,IF(AK207=40,AB207*1.08*K207,0))</f>
        <v>0</v>
      </c>
    </row>
    <row r="208" spans="3:46" ht="12.75" customHeight="1" x14ac:dyDescent="0.2">
      <c r="C208" s="35"/>
      <c r="D208" s="862" t="str">
        <f t="shared" si="280"/>
        <v/>
      </c>
      <c r="E208" s="862" t="str">
        <f t="shared" si="280"/>
        <v/>
      </c>
      <c r="F208" s="862" t="str">
        <f t="shared" si="280"/>
        <v/>
      </c>
      <c r="G208" s="863" t="str">
        <f t="shared" si="281"/>
        <v/>
      </c>
      <c r="H208" s="864" t="str">
        <f t="shared" si="282"/>
        <v/>
      </c>
      <c r="I208" s="865" t="str">
        <f t="shared" si="282"/>
        <v/>
      </c>
      <c r="J208" s="863" t="str">
        <f t="shared" si="283"/>
        <v/>
      </c>
      <c r="K208" s="866" t="str">
        <f t="shared" si="284"/>
        <v/>
      </c>
      <c r="L208" s="1293"/>
      <c r="M208" s="847">
        <v>0</v>
      </c>
      <c r="N208" s="1521">
        <v>0</v>
      </c>
      <c r="O208" s="1522" t="str">
        <f t="shared" ref="O208:O226" si="286">IF(K208="","",K208*50)</f>
        <v/>
      </c>
      <c r="P208" s="1305">
        <f t="shared" ref="P208:P226" si="287">SUM(M208:O208)</f>
        <v>0</v>
      </c>
      <c r="Q208" s="1304">
        <v>0</v>
      </c>
      <c r="R208" s="392" t="str">
        <f t="shared" ref="R208:R226" si="288">IF(K208="","",(1659*K208-P208)*AE208)</f>
        <v/>
      </c>
      <c r="S208" s="392" t="str">
        <f t="shared" ref="S208:S226" si="289">IF(K208="","",P208*AF208+AD208*(AH208+AI208*(1-AJ208)))</f>
        <v/>
      </c>
      <c r="T208" s="393">
        <f>ROUND(IF(K208="",0,+Q208/1659*(AB208*12*(1+tab!$D$111+tab!$D$112)-tab!$D$110)*tab!$D$108),-1)</f>
        <v>0</v>
      </c>
      <c r="U208" s="1321" t="str">
        <f t="shared" ref="U208:U226" si="290">IF(K208="","",IF(E208=0,0,(R208+S208+T208)))</f>
        <v/>
      </c>
      <c r="V208" s="376"/>
      <c r="W208" s="952"/>
      <c r="AB208" s="1314" t="str">
        <f t="shared" si="285"/>
        <v/>
      </c>
      <c r="AC208" s="1374">
        <f>tab!$D$101</f>
        <v>0.53</v>
      </c>
      <c r="AD208" s="1313" t="e">
        <f t="shared" ref="AD208:AD226" si="291">AB208*12/1659</f>
        <v>#VALUE!</v>
      </c>
      <c r="AE208" s="1313" t="e">
        <f t="shared" ref="AE208:AE226" si="292">AB208*12*(1+AC208)/1659</f>
        <v>#VALUE!</v>
      </c>
      <c r="AF208" s="1313" t="e">
        <f t="shared" ref="AF208:AF226" si="293">+AE208-AD208</f>
        <v>#VALUE!</v>
      </c>
      <c r="AG208" s="14">
        <f t="shared" ref="AG208:AG226" si="294">Q208</f>
        <v>0</v>
      </c>
      <c r="AH208" s="1315" t="str">
        <f t="shared" ref="AH208:AH226" si="295">O208</f>
        <v/>
      </c>
      <c r="AI208" s="14">
        <f t="shared" ref="AI208:AI226" si="296">(M208+N208)</f>
        <v>0</v>
      </c>
      <c r="AJ208" s="1316">
        <f t="shared" ref="AJ208:AJ226" si="297">IF(I208&gt;8,50%,40%)</f>
        <v>0.5</v>
      </c>
      <c r="AK208" s="6">
        <f t="shared" ref="AK208:AK226" si="298">IF(G208&lt;25,0,IF(G208=25,25,IF(G208&lt;40,0,IF(G208=40,40,IF(G208&gt;=40,0)))))</f>
        <v>0</v>
      </c>
      <c r="AL208" s="1317">
        <f t="shared" ref="AL208:AL226" si="299">IF(AK208=25,AB208*1.08*K208/2,IF(AK208=40,AB208*1.08*K208,0))</f>
        <v>0</v>
      </c>
    </row>
    <row r="209" spans="3:38" ht="12.75" customHeight="1" x14ac:dyDescent="0.2">
      <c r="C209" s="35"/>
      <c r="D209" s="862" t="str">
        <f t="shared" si="280"/>
        <v/>
      </c>
      <c r="E209" s="867" t="str">
        <f t="shared" si="280"/>
        <v/>
      </c>
      <c r="F209" s="867" t="str">
        <f t="shared" si="280"/>
        <v/>
      </c>
      <c r="G209" s="865" t="str">
        <f t="shared" si="281"/>
        <v/>
      </c>
      <c r="H209" s="868" t="str">
        <f t="shared" si="282"/>
        <v/>
      </c>
      <c r="I209" s="865" t="str">
        <f t="shared" si="282"/>
        <v/>
      </c>
      <c r="J209" s="863" t="str">
        <f t="shared" si="283"/>
        <v/>
      </c>
      <c r="K209" s="869" t="str">
        <f t="shared" si="284"/>
        <v/>
      </c>
      <c r="L209" s="1294"/>
      <c r="M209" s="847">
        <v>0</v>
      </c>
      <c r="N209" s="1521">
        <v>0</v>
      </c>
      <c r="O209" s="1522" t="str">
        <f t="shared" si="286"/>
        <v/>
      </c>
      <c r="P209" s="1305">
        <f t="shared" si="287"/>
        <v>0</v>
      </c>
      <c r="Q209" s="1304">
        <v>0</v>
      </c>
      <c r="R209" s="392" t="str">
        <f t="shared" si="288"/>
        <v/>
      </c>
      <c r="S209" s="392" t="str">
        <f t="shared" si="289"/>
        <v/>
      </c>
      <c r="T209" s="393">
        <f>ROUND(IF(K209="",0,+Q209/1659*(AB209*12*(1+tab!$D$111+tab!$D$112)-tab!$D$110)*tab!$D$108),-1)</f>
        <v>0</v>
      </c>
      <c r="U209" s="1321" t="str">
        <f t="shared" si="290"/>
        <v/>
      </c>
      <c r="V209" s="376"/>
      <c r="W209" s="952"/>
      <c r="AB209" s="1314" t="str">
        <f t="shared" si="285"/>
        <v/>
      </c>
      <c r="AC209" s="1374">
        <f>tab!$D$101</f>
        <v>0.53</v>
      </c>
      <c r="AD209" s="1313" t="e">
        <f t="shared" si="291"/>
        <v>#VALUE!</v>
      </c>
      <c r="AE209" s="1313" t="e">
        <f t="shared" si="292"/>
        <v>#VALUE!</v>
      </c>
      <c r="AF209" s="1313" t="e">
        <f t="shared" si="293"/>
        <v>#VALUE!</v>
      </c>
      <c r="AG209" s="14">
        <f t="shared" si="294"/>
        <v>0</v>
      </c>
      <c r="AH209" s="1315" t="str">
        <f t="shared" si="295"/>
        <v/>
      </c>
      <c r="AI209" s="14">
        <f t="shared" si="296"/>
        <v>0</v>
      </c>
      <c r="AJ209" s="1316">
        <f t="shared" si="297"/>
        <v>0.5</v>
      </c>
      <c r="AK209" s="6">
        <f t="shared" si="298"/>
        <v>0</v>
      </c>
      <c r="AL209" s="1317">
        <f t="shared" si="299"/>
        <v>0</v>
      </c>
    </row>
    <row r="210" spans="3:38" ht="12.75" customHeight="1" x14ac:dyDescent="0.2">
      <c r="C210" s="35"/>
      <c r="D210" s="862" t="str">
        <f t="shared" si="280"/>
        <v/>
      </c>
      <c r="E210" s="862" t="str">
        <f t="shared" si="280"/>
        <v/>
      </c>
      <c r="F210" s="862" t="str">
        <f t="shared" si="280"/>
        <v/>
      </c>
      <c r="G210" s="863" t="str">
        <f t="shared" si="281"/>
        <v/>
      </c>
      <c r="H210" s="864" t="str">
        <f t="shared" si="282"/>
        <v/>
      </c>
      <c r="I210" s="865" t="str">
        <f t="shared" si="282"/>
        <v/>
      </c>
      <c r="J210" s="863" t="str">
        <f t="shared" si="283"/>
        <v/>
      </c>
      <c r="K210" s="866" t="str">
        <f t="shared" si="284"/>
        <v/>
      </c>
      <c r="L210" s="1293"/>
      <c r="M210" s="847">
        <v>0</v>
      </c>
      <c r="N210" s="1521">
        <v>0</v>
      </c>
      <c r="O210" s="1522" t="str">
        <f t="shared" si="286"/>
        <v/>
      </c>
      <c r="P210" s="1305">
        <f t="shared" si="287"/>
        <v>0</v>
      </c>
      <c r="Q210" s="1304">
        <v>0</v>
      </c>
      <c r="R210" s="392" t="str">
        <f t="shared" si="288"/>
        <v/>
      </c>
      <c r="S210" s="392" t="str">
        <f t="shared" si="289"/>
        <v/>
      </c>
      <c r="T210" s="393">
        <f>ROUND(IF(K210="",0,+Q210/1659*(AB210*12*(1+tab!$D$111+tab!$D$112)-tab!$D$110)*tab!$D$108),-1)</f>
        <v>0</v>
      </c>
      <c r="U210" s="1321" t="str">
        <f t="shared" si="290"/>
        <v/>
      </c>
      <c r="V210" s="376"/>
      <c r="W210" s="952"/>
      <c r="AB210" s="1314" t="str">
        <f t="shared" si="285"/>
        <v/>
      </c>
      <c r="AC210" s="1374">
        <f>tab!$D$101</f>
        <v>0.53</v>
      </c>
      <c r="AD210" s="1313" t="e">
        <f t="shared" si="291"/>
        <v>#VALUE!</v>
      </c>
      <c r="AE210" s="1313" t="e">
        <f t="shared" si="292"/>
        <v>#VALUE!</v>
      </c>
      <c r="AF210" s="1313" t="e">
        <f t="shared" si="293"/>
        <v>#VALUE!</v>
      </c>
      <c r="AG210" s="14">
        <f t="shared" si="294"/>
        <v>0</v>
      </c>
      <c r="AH210" s="1315" t="str">
        <f t="shared" si="295"/>
        <v/>
      </c>
      <c r="AI210" s="14">
        <f t="shared" si="296"/>
        <v>0</v>
      </c>
      <c r="AJ210" s="1316">
        <f t="shared" si="297"/>
        <v>0.5</v>
      </c>
      <c r="AK210" s="6">
        <f t="shared" si="298"/>
        <v>0</v>
      </c>
      <c r="AL210" s="1317">
        <f t="shared" si="299"/>
        <v>0</v>
      </c>
    </row>
    <row r="211" spans="3:38" ht="12.75" customHeight="1" x14ac:dyDescent="0.2">
      <c r="C211" s="35"/>
      <c r="D211" s="862" t="str">
        <f t="shared" si="280"/>
        <v/>
      </c>
      <c r="E211" s="862" t="str">
        <f t="shared" si="280"/>
        <v/>
      </c>
      <c r="F211" s="862" t="str">
        <f t="shared" si="280"/>
        <v/>
      </c>
      <c r="G211" s="863" t="str">
        <f t="shared" si="281"/>
        <v/>
      </c>
      <c r="H211" s="864" t="str">
        <f t="shared" si="282"/>
        <v/>
      </c>
      <c r="I211" s="865" t="str">
        <f t="shared" si="282"/>
        <v/>
      </c>
      <c r="J211" s="863" t="str">
        <f t="shared" si="283"/>
        <v/>
      </c>
      <c r="K211" s="866" t="str">
        <f t="shared" si="284"/>
        <v/>
      </c>
      <c r="L211" s="1293"/>
      <c r="M211" s="847">
        <v>0</v>
      </c>
      <c r="N211" s="1521">
        <v>0</v>
      </c>
      <c r="O211" s="1522" t="str">
        <f t="shared" si="286"/>
        <v/>
      </c>
      <c r="P211" s="1305">
        <f t="shared" si="287"/>
        <v>0</v>
      </c>
      <c r="Q211" s="1304">
        <v>0</v>
      </c>
      <c r="R211" s="392" t="str">
        <f t="shared" si="288"/>
        <v/>
      </c>
      <c r="S211" s="392" t="str">
        <f t="shared" si="289"/>
        <v/>
      </c>
      <c r="T211" s="393">
        <f>ROUND(IF(K211="",0,+Q211/1659*(AB211*12*(1+tab!$D$111+tab!$D$112)-tab!$D$110)*tab!$D$108),-1)</f>
        <v>0</v>
      </c>
      <c r="U211" s="1321" t="str">
        <f t="shared" si="290"/>
        <v/>
      </c>
      <c r="V211" s="376"/>
      <c r="W211" s="952"/>
      <c r="AB211" s="1314" t="str">
        <f t="shared" si="285"/>
        <v/>
      </c>
      <c r="AC211" s="1374">
        <f>tab!$D$101</f>
        <v>0.53</v>
      </c>
      <c r="AD211" s="1313" t="e">
        <f t="shared" si="291"/>
        <v>#VALUE!</v>
      </c>
      <c r="AE211" s="1313" t="e">
        <f t="shared" si="292"/>
        <v>#VALUE!</v>
      </c>
      <c r="AF211" s="1313" t="e">
        <f t="shared" si="293"/>
        <v>#VALUE!</v>
      </c>
      <c r="AG211" s="14">
        <f t="shared" si="294"/>
        <v>0</v>
      </c>
      <c r="AH211" s="1315" t="str">
        <f t="shared" si="295"/>
        <v/>
      </c>
      <c r="AI211" s="14">
        <f t="shared" si="296"/>
        <v>0</v>
      </c>
      <c r="AJ211" s="1316">
        <f t="shared" si="297"/>
        <v>0.5</v>
      </c>
      <c r="AK211" s="6">
        <f t="shared" si="298"/>
        <v>0</v>
      </c>
      <c r="AL211" s="1317">
        <f t="shared" si="299"/>
        <v>0</v>
      </c>
    </row>
    <row r="212" spans="3:38" ht="12.75" customHeight="1" x14ac:dyDescent="0.2">
      <c r="C212" s="35"/>
      <c r="D212" s="862" t="str">
        <f t="shared" si="280"/>
        <v/>
      </c>
      <c r="E212" s="862" t="str">
        <f t="shared" si="280"/>
        <v/>
      </c>
      <c r="F212" s="862" t="str">
        <f t="shared" si="280"/>
        <v/>
      </c>
      <c r="G212" s="863" t="str">
        <f t="shared" si="281"/>
        <v/>
      </c>
      <c r="H212" s="864" t="str">
        <f t="shared" si="282"/>
        <v/>
      </c>
      <c r="I212" s="865" t="str">
        <f t="shared" si="282"/>
        <v/>
      </c>
      <c r="J212" s="863" t="str">
        <f t="shared" si="283"/>
        <v/>
      </c>
      <c r="K212" s="866" t="str">
        <f t="shared" si="284"/>
        <v/>
      </c>
      <c r="L212" s="1293"/>
      <c r="M212" s="847">
        <v>0</v>
      </c>
      <c r="N212" s="1521">
        <v>0</v>
      </c>
      <c r="O212" s="1522" t="str">
        <f t="shared" si="286"/>
        <v/>
      </c>
      <c r="P212" s="1305">
        <f t="shared" si="287"/>
        <v>0</v>
      </c>
      <c r="Q212" s="1304">
        <v>0</v>
      </c>
      <c r="R212" s="392" t="str">
        <f t="shared" si="288"/>
        <v/>
      </c>
      <c r="S212" s="392" t="str">
        <f t="shared" si="289"/>
        <v/>
      </c>
      <c r="T212" s="393">
        <f>ROUND(IF(K212="",0,+Q212/1659*(AB212*12*(1+tab!$D$111+tab!$D$112)-tab!$D$110)*tab!$D$108),-1)</f>
        <v>0</v>
      </c>
      <c r="U212" s="1321" t="str">
        <f t="shared" si="290"/>
        <v/>
      </c>
      <c r="V212" s="376"/>
      <c r="W212" s="952"/>
      <c r="AB212" s="1314" t="str">
        <f t="shared" si="285"/>
        <v/>
      </c>
      <c r="AC212" s="1374">
        <f>tab!$D$101</f>
        <v>0.53</v>
      </c>
      <c r="AD212" s="1313" t="e">
        <f t="shared" si="291"/>
        <v>#VALUE!</v>
      </c>
      <c r="AE212" s="1313" t="e">
        <f t="shared" si="292"/>
        <v>#VALUE!</v>
      </c>
      <c r="AF212" s="1313" t="e">
        <f t="shared" si="293"/>
        <v>#VALUE!</v>
      </c>
      <c r="AG212" s="14">
        <f t="shared" si="294"/>
        <v>0</v>
      </c>
      <c r="AH212" s="1315" t="str">
        <f t="shared" si="295"/>
        <v/>
      </c>
      <c r="AI212" s="14">
        <f t="shared" si="296"/>
        <v>0</v>
      </c>
      <c r="AJ212" s="1316">
        <f t="shared" si="297"/>
        <v>0.5</v>
      </c>
      <c r="AK212" s="6">
        <f t="shared" si="298"/>
        <v>0</v>
      </c>
      <c r="AL212" s="1317">
        <f t="shared" si="299"/>
        <v>0</v>
      </c>
    </row>
    <row r="213" spans="3:38" ht="12.75" customHeight="1" x14ac:dyDescent="0.2">
      <c r="C213" s="35"/>
      <c r="D213" s="862" t="str">
        <f t="shared" si="280"/>
        <v/>
      </c>
      <c r="E213" s="862" t="str">
        <f t="shared" si="280"/>
        <v/>
      </c>
      <c r="F213" s="862" t="str">
        <f t="shared" si="280"/>
        <v/>
      </c>
      <c r="G213" s="863" t="str">
        <f t="shared" si="281"/>
        <v/>
      </c>
      <c r="H213" s="864" t="str">
        <f t="shared" si="282"/>
        <v/>
      </c>
      <c r="I213" s="865" t="str">
        <f t="shared" si="282"/>
        <v/>
      </c>
      <c r="J213" s="863" t="str">
        <f t="shared" si="283"/>
        <v/>
      </c>
      <c r="K213" s="866" t="str">
        <f t="shared" si="284"/>
        <v/>
      </c>
      <c r="L213" s="1293"/>
      <c r="M213" s="847">
        <v>0</v>
      </c>
      <c r="N213" s="1521">
        <v>0</v>
      </c>
      <c r="O213" s="1522" t="str">
        <f t="shared" si="286"/>
        <v/>
      </c>
      <c r="P213" s="1305">
        <f t="shared" si="287"/>
        <v>0</v>
      </c>
      <c r="Q213" s="1304">
        <v>0</v>
      </c>
      <c r="R213" s="392" t="str">
        <f t="shared" si="288"/>
        <v/>
      </c>
      <c r="S213" s="392" t="str">
        <f t="shared" si="289"/>
        <v/>
      </c>
      <c r="T213" s="393">
        <f>ROUND(IF(K213="",0,+Q213/1659*(AB213*12*(1+tab!$D$111+tab!$D$112)-tab!$D$110)*tab!$D$108),-1)</f>
        <v>0</v>
      </c>
      <c r="U213" s="1321" t="str">
        <f t="shared" si="290"/>
        <v/>
      </c>
      <c r="V213" s="376"/>
      <c r="W213" s="952"/>
      <c r="AB213" s="1314" t="str">
        <f t="shared" si="285"/>
        <v/>
      </c>
      <c r="AC213" s="1374">
        <f>tab!$D$101</f>
        <v>0.53</v>
      </c>
      <c r="AD213" s="1313" t="e">
        <f t="shared" si="291"/>
        <v>#VALUE!</v>
      </c>
      <c r="AE213" s="1313" t="e">
        <f t="shared" si="292"/>
        <v>#VALUE!</v>
      </c>
      <c r="AF213" s="1313" t="e">
        <f t="shared" si="293"/>
        <v>#VALUE!</v>
      </c>
      <c r="AG213" s="14">
        <f t="shared" si="294"/>
        <v>0</v>
      </c>
      <c r="AH213" s="1315" t="str">
        <f t="shared" si="295"/>
        <v/>
      </c>
      <c r="AI213" s="14">
        <f t="shared" si="296"/>
        <v>0</v>
      </c>
      <c r="AJ213" s="1316">
        <f t="shared" si="297"/>
        <v>0.5</v>
      </c>
      <c r="AK213" s="6">
        <f t="shared" si="298"/>
        <v>0</v>
      </c>
      <c r="AL213" s="1317">
        <f t="shared" si="299"/>
        <v>0</v>
      </c>
    </row>
    <row r="214" spans="3:38" ht="12.75" customHeight="1" x14ac:dyDescent="0.2">
      <c r="C214" s="35"/>
      <c r="D214" s="862" t="str">
        <f t="shared" si="280"/>
        <v/>
      </c>
      <c r="E214" s="862" t="str">
        <f t="shared" si="280"/>
        <v/>
      </c>
      <c r="F214" s="862" t="str">
        <f t="shared" si="280"/>
        <v/>
      </c>
      <c r="G214" s="863" t="str">
        <f t="shared" si="281"/>
        <v/>
      </c>
      <c r="H214" s="864" t="str">
        <f t="shared" si="282"/>
        <v/>
      </c>
      <c r="I214" s="865" t="str">
        <f t="shared" si="282"/>
        <v/>
      </c>
      <c r="J214" s="863" t="str">
        <f t="shared" si="283"/>
        <v/>
      </c>
      <c r="K214" s="866" t="str">
        <f t="shared" si="284"/>
        <v/>
      </c>
      <c r="L214" s="1293"/>
      <c r="M214" s="847">
        <v>0</v>
      </c>
      <c r="N214" s="1521">
        <v>0</v>
      </c>
      <c r="O214" s="1522" t="str">
        <f t="shared" si="286"/>
        <v/>
      </c>
      <c r="P214" s="1305">
        <f t="shared" si="287"/>
        <v>0</v>
      </c>
      <c r="Q214" s="1304">
        <v>0</v>
      </c>
      <c r="R214" s="392" t="str">
        <f t="shared" si="288"/>
        <v/>
      </c>
      <c r="S214" s="392" t="str">
        <f t="shared" si="289"/>
        <v/>
      </c>
      <c r="T214" s="393">
        <f>ROUND(IF(K214="",0,+Q214/1659*(AB214*12*(1+tab!$D$111+tab!$D$112)-tab!$D$110)*tab!$D$108),-1)</f>
        <v>0</v>
      </c>
      <c r="U214" s="1321" t="str">
        <f t="shared" si="290"/>
        <v/>
      </c>
      <c r="V214" s="376"/>
      <c r="W214" s="952"/>
      <c r="AB214" s="1314" t="str">
        <f t="shared" si="285"/>
        <v/>
      </c>
      <c r="AC214" s="1374">
        <f>tab!$D$101</f>
        <v>0.53</v>
      </c>
      <c r="AD214" s="1313" t="e">
        <f t="shared" si="291"/>
        <v>#VALUE!</v>
      </c>
      <c r="AE214" s="1313" t="e">
        <f t="shared" si="292"/>
        <v>#VALUE!</v>
      </c>
      <c r="AF214" s="1313" t="e">
        <f t="shared" si="293"/>
        <v>#VALUE!</v>
      </c>
      <c r="AG214" s="14">
        <f t="shared" si="294"/>
        <v>0</v>
      </c>
      <c r="AH214" s="1315" t="str">
        <f t="shared" si="295"/>
        <v/>
      </c>
      <c r="AI214" s="14">
        <f t="shared" si="296"/>
        <v>0</v>
      </c>
      <c r="AJ214" s="1316">
        <f t="shared" si="297"/>
        <v>0.5</v>
      </c>
      <c r="AK214" s="6">
        <f t="shared" si="298"/>
        <v>0</v>
      </c>
      <c r="AL214" s="1317">
        <f t="shared" si="299"/>
        <v>0</v>
      </c>
    </row>
    <row r="215" spans="3:38" ht="12.75" customHeight="1" x14ac:dyDescent="0.2">
      <c r="C215" s="35"/>
      <c r="D215" s="862" t="str">
        <f t="shared" si="280"/>
        <v/>
      </c>
      <c r="E215" s="862" t="str">
        <f t="shared" si="280"/>
        <v/>
      </c>
      <c r="F215" s="862" t="str">
        <f t="shared" si="280"/>
        <v/>
      </c>
      <c r="G215" s="863" t="str">
        <f t="shared" si="281"/>
        <v/>
      </c>
      <c r="H215" s="864" t="str">
        <f t="shared" si="282"/>
        <v/>
      </c>
      <c r="I215" s="865" t="str">
        <f t="shared" si="282"/>
        <v/>
      </c>
      <c r="J215" s="863" t="str">
        <f t="shared" si="283"/>
        <v/>
      </c>
      <c r="K215" s="866" t="str">
        <f t="shared" si="284"/>
        <v/>
      </c>
      <c r="L215" s="1293"/>
      <c r="M215" s="847">
        <v>0</v>
      </c>
      <c r="N215" s="1521">
        <v>0</v>
      </c>
      <c r="O215" s="1522" t="str">
        <f t="shared" si="286"/>
        <v/>
      </c>
      <c r="P215" s="1305">
        <f t="shared" si="287"/>
        <v>0</v>
      </c>
      <c r="Q215" s="1304">
        <v>0</v>
      </c>
      <c r="R215" s="392" t="str">
        <f t="shared" si="288"/>
        <v/>
      </c>
      <c r="S215" s="392" t="str">
        <f t="shared" si="289"/>
        <v/>
      </c>
      <c r="T215" s="393">
        <f>ROUND(IF(K215="",0,+Q215/1659*(AB215*12*(1+tab!$D$111+tab!$D$112)-tab!$D$110)*tab!$D$108),-1)</f>
        <v>0</v>
      </c>
      <c r="U215" s="1321" t="str">
        <f t="shared" si="290"/>
        <v/>
      </c>
      <c r="V215" s="376"/>
      <c r="W215" s="952"/>
      <c r="AB215" s="1314" t="str">
        <f t="shared" si="285"/>
        <v/>
      </c>
      <c r="AC215" s="1374">
        <f>tab!$D$101</f>
        <v>0.53</v>
      </c>
      <c r="AD215" s="1313" t="e">
        <f t="shared" si="291"/>
        <v>#VALUE!</v>
      </c>
      <c r="AE215" s="1313" t="e">
        <f t="shared" si="292"/>
        <v>#VALUE!</v>
      </c>
      <c r="AF215" s="1313" t="e">
        <f t="shared" si="293"/>
        <v>#VALUE!</v>
      </c>
      <c r="AG215" s="14">
        <f t="shared" si="294"/>
        <v>0</v>
      </c>
      <c r="AH215" s="1315" t="str">
        <f t="shared" si="295"/>
        <v/>
      </c>
      <c r="AI215" s="14">
        <f t="shared" si="296"/>
        <v>0</v>
      </c>
      <c r="AJ215" s="1316">
        <f t="shared" si="297"/>
        <v>0.5</v>
      </c>
      <c r="AK215" s="6">
        <f t="shared" si="298"/>
        <v>0</v>
      </c>
      <c r="AL215" s="1317">
        <f t="shared" si="299"/>
        <v>0</v>
      </c>
    </row>
    <row r="216" spans="3:38" ht="12.75" customHeight="1" x14ac:dyDescent="0.2">
      <c r="C216" s="35"/>
      <c r="D216" s="862" t="str">
        <f t="shared" si="280"/>
        <v/>
      </c>
      <c r="E216" s="862" t="str">
        <f t="shared" si="280"/>
        <v/>
      </c>
      <c r="F216" s="862" t="str">
        <f t="shared" si="280"/>
        <v/>
      </c>
      <c r="G216" s="863" t="str">
        <f t="shared" si="281"/>
        <v/>
      </c>
      <c r="H216" s="864" t="str">
        <f t="shared" si="282"/>
        <v/>
      </c>
      <c r="I216" s="865" t="str">
        <f t="shared" si="282"/>
        <v/>
      </c>
      <c r="J216" s="863" t="str">
        <f t="shared" si="283"/>
        <v/>
      </c>
      <c r="K216" s="866" t="str">
        <f t="shared" si="284"/>
        <v/>
      </c>
      <c r="L216" s="1293"/>
      <c r="M216" s="847">
        <v>0</v>
      </c>
      <c r="N216" s="1521">
        <v>0</v>
      </c>
      <c r="O216" s="1522" t="str">
        <f t="shared" si="286"/>
        <v/>
      </c>
      <c r="P216" s="1305">
        <f t="shared" si="287"/>
        <v>0</v>
      </c>
      <c r="Q216" s="1304">
        <v>0</v>
      </c>
      <c r="R216" s="392" t="str">
        <f t="shared" si="288"/>
        <v/>
      </c>
      <c r="S216" s="392" t="str">
        <f t="shared" si="289"/>
        <v/>
      </c>
      <c r="T216" s="393">
        <f>ROUND(IF(K216="",0,+Q216/1659*(AB216*12*(1+tab!$D$111+tab!$D$112)-tab!$D$110)*tab!$D$108),-1)</f>
        <v>0</v>
      </c>
      <c r="U216" s="1321" t="str">
        <f t="shared" si="290"/>
        <v/>
      </c>
      <c r="V216" s="376"/>
      <c r="W216" s="952"/>
      <c r="AB216" s="1314" t="str">
        <f t="shared" si="285"/>
        <v/>
      </c>
      <c r="AC216" s="1374">
        <f>tab!$D$101</f>
        <v>0.53</v>
      </c>
      <c r="AD216" s="1313" t="e">
        <f t="shared" si="291"/>
        <v>#VALUE!</v>
      </c>
      <c r="AE216" s="1313" t="e">
        <f t="shared" si="292"/>
        <v>#VALUE!</v>
      </c>
      <c r="AF216" s="1313" t="e">
        <f t="shared" si="293"/>
        <v>#VALUE!</v>
      </c>
      <c r="AG216" s="14">
        <f t="shared" si="294"/>
        <v>0</v>
      </c>
      <c r="AH216" s="1315" t="str">
        <f t="shared" si="295"/>
        <v/>
      </c>
      <c r="AI216" s="14">
        <f t="shared" si="296"/>
        <v>0</v>
      </c>
      <c r="AJ216" s="1316">
        <f t="shared" si="297"/>
        <v>0.5</v>
      </c>
      <c r="AK216" s="6">
        <f t="shared" si="298"/>
        <v>0</v>
      </c>
      <c r="AL216" s="1317">
        <f t="shared" si="299"/>
        <v>0</v>
      </c>
    </row>
    <row r="217" spans="3:38" ht="12.75" customHeight="1" x14ac:dyDescent="0.2">
      <c r="C217" s="35"/>
      <c r="D217" s="862" t="str">
        <f t="shared" si="280"/>
        <v/>
      </c>
      <c r="E217" s="862" t="str">
        <f t="shared" si="280"/>
        <v/>
      </c>
      <c r="F217" s="862" t="str">
        <f t="shared" si="280"/>
        <v/>
      </c>
      <c r="G217" s="863" t="str">
        <f t="shared" si="281"/>
        <v/>
      </c>
      <c r="H217" s="864" t="str">
        <f t="shared" si="282"/>
        <v/>
      </c>
      <c r="I217" s="865" t="str">
        <f t="shared" si="282"/>
        <v/>
      </c>
      <c r="J217" s="863" t="str">
        <f t="shared" si="283"/>
        <v/>
      </c>
      <c r="K217" s="866" t="str">
        <f t="shared" si="284"/>
        <v/>
      </c>
      <c r="L217" s="1293"/>
      <c r="M217" s="847">
        <v>0</v>
      </c>
      <c r="N217" s="1521">
        <v>0</v>
      </c>
      <c r="O217" s="1522" t="str">
        <f t="shared" si="286"/>
        <v/>
      </c>
      <c r="P217" s="1305">
        <f t="shared" si="287"/>
        <v>0</v>
      </c>
      <c r="Q217" s="1304">
        <v>0</v>
      </c>
      <c r="R217" s="392" t="str">
        <f t="shared" si="288"/>
        <v/>
      </c>
      <c r="S217" s="392" t="str">
        <f t="shared" si="289"/>
        <v/>
      </c>
      <c r="T217" s="393">
        <f>ROUND(IF(K217="",0,+Q217/1659*(AB217*12*(1+tab!$D$111+tab!$D$112)-tab!$D$110)*tab!$D$108),-1)</f>
        <v>0</v>
      </c>
      <c r="U217" s="1321" t="str">
        <f t="shared" si="290"/>
        <v/>
      </c>
      <c r="V217" s="376"/>
      <c r="W217" s="952"/>
      <c r="AB217" s="1314" t="str">
        <f t="shared" si="285"/>
        <v/>
      </c>
      <c r="AC217" s="1374">
        <f>tab!$D$101</f>
        <v>0.53</v>
      </c>
      <c r="AD217" s="1313" t="e">
        <f t="shared" si="291"/>
        <v>#VALUE!</v>
      </c>
      <c r="AE217" s="1313" t="e">
        <f t="shared" si="292"/>
        <v>#VALUE!</v>
      </c>
      <c r="AF217" s="1313" t="e">
        <f t="shared" si="293"/>
        <v>#VALUE!</v>
      </c>
      <c r="AG217" s="14">
        <f t="shared" si="294"/>
        <v>0</v>
      </c>
      <c r="AH217" s="1315" t="str">
        <f t="shared" si="295"/>
        <v/>
      </c>
      <c r="AI217" s="14">
        <f t="shared" si="296"/>
        <v>0</v>
      </c>
      <c r="AJ217" s="1316">
        <f t="shared" si="297"/>
        <v>0.5</v>
      </c>
      <c r="AK217" s="6">
        <f t="shared" si="298"/>
        <v>0</v>
      </c>
      <c r="AL217" s="1317">
        <f t="shared" si="299"/>
        <v>0</v>
      </c>
    </row>
    <row r="218" spans="3:38" ht="12.75" customHeight="1" x14ac:dyDescent="0.2">
      <c r="C218" s="35"/>
      <c r="D218" s="862" t="str">
        <f t="shared" si="280"/>
        <v/>
      </c>
      <c r="E218" s="862" t="str">
        <f t="shared" si="280"/>
        <v/>
      </c>
      <c r="F218" s="862" t="str">
        <f t="shared" si="280"/>
        <v/>
      </c>
      <c r="G218" s="863" t="str">
        <f t="shared" si="281"/>
        <v/>
      </c>
      <c r="H218" s="864" t="str">
        <f t="shared" si="282"/>
        <v/>
      </c>
      <c r="I218" s="865" t="str">
        <f t="shared" si="282"/>
        <v/>
      </c>
      <c r="J218" s="863" t="str">
        <f t="shared" si="283"/>
        <v/>
      </c>
      <c r="K218" s="866" t="str">
        <f t="shared" si="284"/>
        <v/>
      </c>
      <c r="L218" s="1293"/>
      <c r="M218" s="847">
        <v>0</v>
      </c>
      <c r="N218" s="1521">
        <v>0</v>
      </c>
      <c r="O218" s="1522" t="str">
        <f t="shared" si="286"/>
        <v/>
      </c>
      <c r="P218" s="1305">
        <f t="shared" si="287"/>
        <v>0</v>
      </c>
      <c r="Q218" s="1304">
        <v>0</v>
      </c>
      <c r="R218" s="392" t="str">
        <f t="shared" si="288"/>
        <v/>
      </c>
      <c r="S218" s="392" t="str">
        <f t="shared" si="289"/>
        <v/>
      </c>
      <c r="T218" s="393">
        <f>ROUND(IF(K218="",0,+Q218/1659*(AB218*12*(1+tab!$D$111+tab!$D$112)-tab!$D$110)*tab!$D$108),-1)</f>
        <v>0</v>
      </c>
      <c r="U218" s="1321" t="str">
        <f t="shared" si="290"/>
        <v/>
      </c>
      <c r="V218" s="376"/>
      <c r="W218" s="952"/>
      <c r="AB218" s="1314" t="str">
        <f t="shared" si="285"/>
        <v/>
      </c>
      <c r="AC218" s="1374">
        <f>tab!$D$101</f>
        <v>0.53</v>
      </c>
      <c r="AD218" s="1313" t="e">
        <f t="shared" si="291"/>
        <v>#VALUE!</v>
      </c>
      <c r="AE218" s="1313" t="e">
        <f t="shared" si="292"/>
        <v>#VALUE!</v>
      </c>
      <c r="AF218" s="1313" t="e">
        <f t="shared" si="293"/>
        <v>#VALUE!</v>
      </c>
      <c r="AG218" s="14">
        <f t="shared" si="294"/>
        <v>0</v>
      </c>
      <c r="AH218" s="1315" t="str">
        <f t="shared" si="295"/>
        <v/>
      </c>
      <c r="AI218" s="14">
        <f t="shared" si="296"/>
        <v>0</v>
      </c>
      <c r="AJ218" s="1316">
        <f t="shared" si="297"/>
        <v>0.5</v>
      </c>
      <c r="AK218" s="6">
        <f t="shared" si="298"/>
        <v>0</v>
      </c>
      <c r="AL218" s="1317">
        <f t="shared" si="299"/>
        <v>0</v>
      </c>
    </row>
    <row r="219" spans="3:38" ht="12.75" customHeight="1" x14ac:dyDescent="0.2">
      <c r="C219" s="35"/>
      <c r="D219" s="862" t="str">
        <f t="shared" ref="D219:F221" si="300">IF(D187=0,"",D187)</f>
        <v/>
      </c>
      <c r="E219" s="862" t="str">
        <f t="shared" si="300"/>
        <v/>
      </c>
      <c r="F219" s="862" t="str">
        <f t="shared" si="300"/>
        <v/>
      </c>
      <c r="G219" s="863" t="str">
        <f t="shared" si="281"/>
        <v/>
      </c>
      <c r="H219" s="864" t="str">
        <f t="shared" si="282"/>
        <v/>
      </c>
      <c r="I219" s="865" t="str">
        <f t="shared" si="282"/>
        <v/>
      </c>
      <c r="J219" s="863" t="str">
        <f t="shared" si="283"/>
        <v/>
      </c>
      <c r="K219" s="866" t="str">
        <f t="shared" ref="K219:K221" si="301">IF(K187="","",K187)</f>
        <v/>
      </c>
      <c r="L219" s="1293"/>
      <c r="M219" s="847">
        <v>0</v>
      </c>
      <c r="N219" s="1521">
        <v>0</v>
      </c>
      <c r="O219" s="1522" t="str">
        <f t="shared" si="286"/>
        <v/>
      </c>
      <c r="P219" s="1305">
        <f t="shared" si="287"/>
        <v>0</v>
      </c>
      <c r="Q219" s="1304">
        <v>0</v>
      </c>
      <c r="R219" s="392" t="str">
        <f t="shared" si="288"/>
        <v/>
      </c>
      <c r="S219" s="392" t="str">
        <f t="shared" si="289"/>
        <v/>
      </c>
      <c r="T219" s="393">
        <f>ROUND(IF(K219="",0,+Q219/1659*(AB219*12*(1+tab!$D$111+tab!$D$112)-tab!$D$110)*tab!$D$108),-1)</f>
        <v>0</v>
      </c>
      <c r="U219" s="1321" t="str">
        <f t="shared" si="290"/>
        <v/>
      </c>
      <c r="V219" s="376"/>
      <c r="W219" s="952"/>
      <c r="AB219" s="1314" t="str">
        <f t="shared" si="285"/>
        <v/>
      </c>
      <c r="AC219" s="1374">
        <f>tab!$D$101</f>
        <v>0.53</v>
      </c>
      <c r="AD219" s="1313" t="e">
        <f t="shared" si="291"/>
        <v>#VALUE!</v>
      </c>
      <c r="AE219" s="1313" t="e">
        <f t="shared" si="292"/>
        <v>#VALUE!</v>
      </c>
      <c r="AF219" s="1313" t="e">
        <f t="shared" si="293"/>
        <v>#VALUE!</v>
      </c>
      <c r="AG219" s="14">
        <f t="shared" si="294"/>
        <v>0</v>
      </c>
      <c r="AH219" s="1315" t="str">
        <f t="shared" si="295"/>
        <v/>
      </c>
      <c r="AI219" s="14">
        <f t="shared" si="296"/>
        <v>0</v>
      </c>
      <c r="AJ219" s="1316">
        <f t="shared" si="297"/>
        <v>0.5</v>
      </c>
      <c r="AK219" s="6">
        <f t="shared" si="298"/>
        <v>0</v>
      </c>
      <c r="AL219" s="1317">
        <f t="shared" si="299"/>
        <v>0</v>
      </c>
    </row>
    <row r="220" spans="3:38" ht="12.75" customHeight="1" x14ac:dyDescent="0.2">
      <c r="C220" s="35"/>
      <c r="D220" s="862" t="str">
        <f t="shared" si="300"/>
        <v/>
      </c>
      <c r="E220" s="862" t="str">
        <f t="shared" si="300"/>
        <v/>
      </c>
      <c r="F220" s="862" t="str">
        <f t="shared" si="300"/>
        <v/>
      </c>
      <c r="G220" s="863" t="str">
        <f t="shared" si="281"/>
        <v/>
      </c>
      <c r="H220" s="864" t="str">
        <f t="shared" si="282"/>
        <v/>
      </c>
      <c r="I220" s="865" t="str">
        <f t="shared" si="282"/>
        <v/>
      </c>
      <c r="J220" s="863" t="str">
        <f t="shared" si="283"/>
        <v/>
      </c>
      <c r="K220" s="866" t="str">
        <f t="shared" si="301"/>
        <v/>
      </c>
      <c r="L220" s="1293"/>
      <c r="M220" s="847">
        <v>0</v>
      </c>
      <c r="N220" s="1521">
        <v>0</v>
      </c>
      <c r="O220" s="1522" t="str">
        <f t="shared" si="286"/>
        <v/>
      </c>
      <c r="P220" s="1305">
        <f t="shared" si="287"/>
        <v>0</v>
      </c>
      <c r="Q220" s="1304">
        <v>0</v>
      </c>
      <c r="R220" s="392" t="str">
        <f t="shared" si="288"/>
        <v/>
      </c>
      <c r="S220" s="392" t="str">
        <f t="shared" si="289"/>
        <v/>
      </c>
      <c r="T220" s="393">
        <f>ROUND(IF(K220="",0,+Q220/1659*(AB220*12*(1+tab!$D$111+tab!$D$112)-tab!$D$110)*tab!$D$108),-1)</f>
        <v>0</v>
      </c>
      <c r="U220" s="1321" t="str">
        <f t="shared" si="290"/>
        <v/>
      </c>
      <c r="V220" s="376"/>
      <c r="W220" s="952"/>
      <c r="AB220" s="1314" t="str">
        <f t="shared" si="285"/>
        <v/>
      </c>
      <c r="AC220" s="1374">
        <f>tab!$D$101</f>
        <v>0.53</v>
      </c>
      <c r="AD220" s="1313" t="e">
        <f t="shared" si="291"/>
        <v>#VALUE!</v>
      </c>
      <c r="AE220" s="1313" t="e">
        <f t="shared" si="292"/>
        <v>#VALUE!</v>
      </c>
      <c r="AF220" s="1313" t="e">
        <f t="shared" si="293"/>
        <v>#VALUE!</v>
      </c>
      <c r="AG220" s="14">
        <f t="shared" si="294"/>
        <v>0</v>
      </c>
      <c r="AH220" s="1315" t="str">
        <f t="shared" si="295"/>
        <v/>
      </c>
      <c r="AI220" s="14">
        <f t="shared" si="296"/>
        <v>0</v>
      </c>
      <c r="AJ220" s="1316">
        <f t="shared" si="297"/>
        <v>0.5</v>
      </c>
      <c r="AK220" s="6">
        <f t="shared" si="298"/>
        <v>0</v>
      </c>
      <c r="AL220" s="1317">
        <f t="shared" si="299"/>
        <v>0</v>
      </c>
    </row>
    <row r="221" spans="3:38" ht="12.75" customHeight="1" x14ac:dyDescent="0.2">
      <c r="C221" s="35"/>
      <c r="D221" s="862" t="str">
        <f t="shared" si="300"/>
        <v/>
      </c>
      <c r="E221" s="862" t="str">
        <f t="shared" si="300"/>
        <v/>
      </c>
      <c r="F221" s="862" t="str">
        <f t="shared" si="300"/>
        <v/>
      </c>
      <c r="G221" s="863" t="str">
        <f t="shared" si="281"/>
        <v/>
      </c>
      <c r="H221" s="864" t="str">
        <f t="shared" si="282"/>
        <v/>
      </c>
      <c r="I221" s="865" t="str">
        <f t="shared" si="282"/>
        <v/>
      </c>
      <c r="J221" s="863" t="str">
        <f t="shared" si="283"/>
        <v/>
      </c>
      <c r="K221" s="866" t="str">
        <f t="shared" si="301"/>
        <v/>
      </c>
      <c r="L221" s="1293"/>
      <c r="M221" s="847">
        <v>0</v>
      </c>
      <c r="N221" s="1521">
        <v>0</v>
      </c>
      <c r="O221" s="1522" t="str">
        <f t="shared" si="286"/>
        <v/>
      </c>
      <c r="P221" s="1305">
        <f t="shared" si="287"/>
        <v>0</v>
      </c>
      <c r="Q221" s="1304">
        <v>0</v>
      </c>
      <c r="R221" s="392" t="str">
        <f t="shared" si="288"/>
        <v/>
      </c>
      <c r="S221" s="392" t="str">
        <f t="shared" si="289"/>
        <v/>
      </c>
      <c r="T221" s="393">
        <f>ROUND(IF(K221="",0,+Q221/1659*(AB221*12*(1+tab!$D$111+tab!$D$112)-tab!$D$110)*tab!$D$108),-1)</f>
        <v>0</v>
      </c>
      <c r="U221" s="1321" t="str">
        <f t="shared" si="290"/>
        <v/>
      </c>
      <c r="V221" s="376"/>
      <c r="W221" s="952"/>
      <c r="AB221" s="1314" t="str">
        <f t="shared" si="285"/>
        <v/>
      </c>
      <c r="AC221" s="1374">
        <f>tab!$D$101</f>
        <v>0.53</v>
      </c>
      <c r="AD221" s="1313" t="e">
        <f t="shared" si="291"/>
        <v>#VALUE!</v>
      </c>
      <c r="AE221" s="1313" t="e">
        <f t="shared" si="292"/>
        <v>#VALUE!</v>
      </c>
      <c r="AF221" s="1313" t="e">
        <f t="shared" si="293"/>
        <v>#VALUE!</v>
      </c>
      <c r="AG221" s="14">
        <f t="shared" si="294"/>
        <v>0</v>
      </c>
      <c r="AH221" s="1315" t="str">
        <f t="shared" si="295"/>
        <v/>
      </c>
      <c r="AI221" s="14">
        <f t="shared" si="296"/>
        <v>0</v>
      </c>
      <c r="AJ221" s="1316">
        <f t="shared" si="297"/>
        <v>0.5</v>
      </c>
      <c r="AK221" s="6">
        <f t="shared" si="298"/>
        <v>0</v>
      </c>
      <c r="AL221" s="1317">
        <f t="shared" si="299"/>
        <v>0</v>
      </c>
    </row>
    <row r="222" spans="3:38" ht="12.75" customHeight="1" x14ac:dyDescent="0.2">
      <c r="C222" s="35"/>
      <c r="D222" s="862" t="str">
        <f t="shared" ref="D222:F226" si="302">IF(D190=0,"",D190)</f>
        <v/>
      </c>
      <c r="E222" s="862" t="str">
        <f t="shared" si="302"/>
        <v/>
      </c>
      <c r="F222" s="862" t="str">
        <f t="shared" si="302"/>
        <v/>
      </c>
      <c r="G222" s="863" t="str">
        <f t="shared" si="281"/>
        <v/>
      </c>
      <c r="H222" s="864" t="str">
        <f t="shared" si="282"/>
        <v/>
      </c>
      <c r="I222" s="865" t="str">
        <f t="shared" si="282"/>
        <v/>
      </c>
      <c r="J222" s="863" t="str">
        <f t="shared" si="283"/>
        <v/>
      </c>
      <c r="K222" s="866" t="str">
        <f t="shared" ref="K222:K226" si="303">IF(K190="","",K190)</f>
        <v/>
      </c>
      <c r="L222" s="1293"/>
      <c r="M222" s="847">
        <v>0</v>
      </c>
      <c r="N222" s="1521">
        <v>0</v>
      </c>
      <c r="O222" s="1522" t="str">
        <f t="shared" si="286"/>
        <v/>
      </c>
      <c r="P222" s="1305">
        <f t="shared" si="287"/>
        <v>0</v>
      </c>
      <c r="Q222" s="1304">
        <v>0</v>
      </c>
      <c r="R222" s="392" t="str">
        <f t="shared" si="288"/>
        <v/>
      </c>
      <c r="S222" s="392" t="str">
        <f t="shared" si="289"/>
        <v/>
      </c>
      <c r="T222" s="393">
        <f>ROUND(IF(K222="",0,+Q222/1659*(AB222*12*(1+tab!$D$111+tab!$D$112)-tab!$D$110)*tab!$D$108),-1)</f>
        <v>0</v>
      </c>
      <c r="U222" s="1321" t="str">
        <f t="shared" si="290"/>
        <v/>
      </c>
      <c r="V222" s="376"/>
      <c r="W222" s="952"/>
      <c r="AB222" s="1314" t="str">
        <f t="shared" si="285"/>
        <v/>
      </c>
      <c r="AC222" s="1374">
        <f>tab!$D$101</f>
        <v>0.53</v>
      </c>
      <c r="AD222" s="1313" t="e">
        <f t="shared" si="291"/>
        <v>#VALUE!</v>
      </c>
      <c r="AE222" s="1313" t="e">
        <f t="shared" si="292"/>
        <v>#VALUE!</v>
      </c>
      <c r="AF222" s="1313" t="e">
        <f t="shared" si="293"/>
        <v>#VALUE!</v>
      </c>
      <c r="AG222" s="14">
        <f t="shared" si="294"/>
        <v>0</v>
      </c>
      <c r="AH222" s="1315" t="str">
        <f t="shared" si="295"/>
        <v/>
      </c>
      <c r="AI222" s="14">
        <f t="shared" si="296"/>
        <v>0</v>
      </c>
      <c r="AJ222" s="1316">
        <f t="shared" si="297"/>
        <v>0.5</v>
      </c>
      <c r="AK222" s="6">
        <f t="shared" si="298"/>
        <v>0</v>
      </c>
      <c r="AL222" s="1317">
        <f t="shared" si="299"/>
        <v>0</v>
      </c>
    </row>
    <row r="223" spans="3:38" ht="12.75" customHeight="1" x14ac:dyDescent="0.2">
      <c r="C223" s="35"/>
      <c r="D223" s="862" t="str">
        <f t="shared" si="302"/>
        <v/>
      </c>
      <c r="E223" s="862" t="str">
        <f t="shared" si="302"/>
        <v/>
      </c>
      <c r="F223" s="862" t="str">
        <f t="shared" si="302"/>
        <v/>
      </c>
      <c r="G223" s="863" t="str">
        <f t="shared" si="281"/>
        <v/>
      </c>
      <c r="H223" s="864" t="str">
        <f t="shared" si="282"/>
        <v/>
      </c>
      <c r="I223" s="865" t="str">
        <f t="shared" si="282"/>
        <v/>
      </c>
      <c r="J223" s="863" t="str">
        <f t="shared" si="283"/>
        <v/>
      </c>
      <c r="K223" s="866" t="str">
        <f t="shared" si="303"/>
        <v/>
      </c>
      <c r="L223" s="1293"/>
      <c r="M223" s="847">
        <v>0</v>
      </c>
      <c r="N223" s="1521">
        <v>0</v>
      </c>
      <c r="O223" s="1522" t="str">
        <f t="shared" si="286"/>
        <v/>
      </c>
      <c r="P223" s="1305">
        <f t="shared" si="287"/>
        <v>0</v>
      </c>
      <c r="Q223" s="1304">
        <v>0</v>
      </c>
      <c r="R223" s="392" t="str">
        <f t="shared" si="288"/>
        <v/>
      </c>
      <c r="S223" s="392" t="str">
        <f t="shared" si="289"/>
        <v/>
      </c>
      <c r="T223" s="393">
        <f>ROUND(IF(K223="",0,+Q223/1659*(AB223*12*(1+tab!$D$111+tab!$D$112)-tab!$D$110)*tab!$D$108),-1)</f>
        <v>0</v>
      </c>
      <c r="U223" s="1321" t="str">
        <f t="shared" si="290"/>
        <v/>
      </c>
      <c r="V223" s="376"/>
      <c r="W223" s="952"/>
      <c r="AB223" s="1314" t="str">
        <f t="shared" si="285"/>
        <v/>
      </c>
      <c r="AC223" s="1374">
        <f>tab!$D$101</f>
        <v>0.53</v>
      </c>
      <c r="AD223" s="1313" t="e">
        <f t="shared" si="291"/>
        <v>#VALUE!</v>
      </c>
      <c r="AE223" s="1313" t="e">
        <f t="shared" si="292"/>
        <v>#VALUE!</v>
      </c>
      <c r="AF223" s="1313" t="e">
        <f t="shared" si="293"/>
        <v>#VALUE!</v>
      </c>
      <c r="AG223" s="14">
        <f t="shared" si="294"/>
        <v>0</v>
      </c>
      <c r="AH223" s="1315" t="str">
        <f t="shared" si="295"/>
        <v/>
      </c>
      <c r="AI223" s="14">
        <f t="shared" si="296"/>
        <v>0</v>
      </c>
      <c r="AJ223" s="1316">
        <f t="shared" si="297"/>
        <v>0.5</v>
      </c>
      <c r="AK223" s="6">
        <f t="shared" si="298"/>
        <v>0</v>
      </c>
      <c r="AL223" s="1317">
        <f t="shared" si="299"/>
        <v>0</v>
      </c>
    </row>
    <row r="224" spans="3:38" ht="12.75" customHeight="1" x14ac:dyDescent="0.2">
      <c r="C224" s="35"/>
      <c r="D224" s="862" t="str">
        <f t="shared" si="302"/>
        <v/>
      </c>
      <c r="E224" s="862" t="str">
        <f t="shared" si="302"/>
        <v/>
      </c>
      <c r="F224" s="862" t="str">
        <f t="shared" si="302"/>
        <v/>
      </c>
      <c r="G224" s="863" t="str">
        <f t="shared" si="281"/>
        <v/>
      </c>
      <c r="H224" s="864" t="str">
        <f t="shared" si="282"/>
        <v/>
      </c>
      <c r="I224" s="865" t="str">
        <f t="shared" si="282"/>
        <v/>
      </c>
      <c r="J224" s="863" t="str">
        <f t="shared" si="283"/>
        <v/>
      </c>
      <c r="K224" s="866" t="str">
        <f t="shared" si="303"/>
        <v/>
      </c>
      <c r="L224" s="1293"/>
      <c r="M224" s="847">
        <v>0</v>
      </c>
      <c r="N224" s="1521">
        <v>0</v>
      </c>
      <c r="O224" s="1522" t="str">
        <f t="shared" si="286"/>
        <v/>
      </c>
      <c r="P224" s="1305">
        <f t="shared" si="287"/>
        <v>0</v>
      </c>
      <c r="Q224" s="1304">
        <v>0</v>
      </c>
      <c r="R224" s="392" t="str">
        <f t="shared" si="288"/>
        <v/>
      </c>
      <c r="S224" s="392" t="str">
        <f t="shared" si="289"/>
        <v/>
      </c>
      <c r="T224" s="393">
        <f>ROUND(IF(K224="",0,+Q224/1659*(AB224*12*(1+tab!$D$111+tab!$D$112)-tab!$D$110)*tab!$D$108),-1)</f>
        <v>0</v>
      </c>
      <c r="U224" s="1321" t="str">
        <f t="shared" si="290"/>
        <v/>
      </c>
      <c r="V224" s="376"/>
      <c r="W224" s="952"/>
      <c r="AB224" s="1314" t="str">
        <f t="shared" si="285"/>
        <v/>
      </c>
      <c r="AC224" s="1374">
        <f>tab!$D$101</f>
        <v>0.53</v>
      </c>
      <c r="AD224" s="1313" t="e">
        <f t="shared" si="291"/>
        <v>#VALUE!</v>
      </c>
      <c r="AE224" s="1313" t="e">
        <f t="shared" si="292"/>
        <v>#VALUE!</v>
      </c>
      <c r="AF224" s="1313" t="e">
        <f t="shared" si="293"/>
        <v>#VALUE!</v>
      </c>
      <c r="AG224" s="14">
        <f t="shared" si="294"/>
        <v>0</v>
      </c>
      <c r="AH224" s="1315" t="str">
        <f t="shared" si="295"/>
        <v/>
      </c>
      <c r="AI224" s="14">
        <f t="shared" si="296"/>
        <v>0</v>
      </c>
      <c r="AJ224" s="1316">
        <f t="shared" si="297"/>
        <v>0.5</v>
      </c>
      <c r="AK224" s="6">
        <f t="shared" si="298"/>
        <v>0</v>
      </c>
      <c r="AL224" s="1317">
        <f t="shared" si="299"/>
        <v>0</v>
      </c>
    </row>
    <row r="225" spans="3:46" ht="12.75" customHeight="1" x14ac:dyDescent="0.2">
      <c r="C225" s="35"/>
      <c r="D225" s="862" t="str">
        <f t="shared" si="302"/>
        <v/>
      </c>
      <c r="E225" s="862" t="str">
        <f t="shared" si="302"/>
        <v/>
      </c>
      <c r="F225" s="862" t="str">
        <f t="shared" si="302"/>
        <v/>
      </c>
      <c r="G225" s="863" t="str">
        <f t="shared" si="281"/>
        <v/>
      </c>
      <c r="H225" s="864" t="str">
        <f t="shared" si="282"/>
        <v/>
      </c>
      <c r="I225" s="865" t="str">
        <f t="shared" si="282"/>
        <v/>
      </c>
      <c r="J225" s="863" t="str">
        <f t="shared" si="283"/>
        <v/>
      </c>
      <c r="K225" s="866" t="str">
        <f t="shared" si="303"/>
        <v/>
      </c>
      <c r="L225" s="1293"/>
      <c r="M225" s="847">
        <v>0</v>
      </c>
      <c r="N225" s="1521">
        <v>0</v>
      </c>
      <c r="O225" s="1522" t="str">
        <f t="shared" si="286"/>
        <v/>
      </c>
      <c r="P225" s="1305">
        <f t="shared" si="287"/>
        <v>0</v>
      </c>
      <c r="Q225" s="1304">
        <v>0</v>
      </c>
      <c r="R225" s="392" t="str">
        <f t="shared" si="288"/>
        <v/>
      </c>
      <c r="S225" s="392" t="str">
        <f t="shared" si="289"/>
        <v/>
      </c>
      <c r="T225" s="393">
        <f>ROUND(IF(K225="",0,+Q225/1659*(AB225*12*(1+tab!$D$111+tab!$D$112)-tab!$D$110)*tab!$D$108),-1)</f>
        <v>0</v>
      </c>
      <c r="U225" s="1321" t="str">
        <f t="shared" si="290"/>
        <v/>
      </c>
      <c r="V225" s="376"/>
      <c r="W225" s="952"/>
      <c r="AB225" s="1314" t="str">
        <f t="shared" si="285"/>
        <v/>
      </c>
      <c r="AC225" s="1374">
        <f>tab!$D$101</f>
        <v>0.53</v>
      </c>
      <c r="AD225" s="1313" t="e">
        <f t="shared" si="291"/>
        <v>#VALUE!</v>
      </c>
      <c r="AE225" s="1313" t="e">
        <f t="shared" si="292"/>
        <v>#VALUE!</v>
      </c>
      <c r="AF225" s="1313" t="e">
        <f t="shared" si="293"/>
        <v>#VALUE!</v>
      </c>
      <c r="AG225" s="14">
        <f t="shared" si="294"/>
        <v>0</v>
      </c>
      <c r="AH225" s="1315" t="str">
        <f t="shared" si="295"/>
        <v/>
      </c>
      <c r="AI225" s="14">
        <f t="shared" si="296"/>
        <v>0</v>
      </c>
      <c r="AJ225" s="1316">
        <f t="shared" si="297"/>
        <v>0.5</v>
      </c>
      <c r="AK225" s="6">
        <f t="shared" si="298"/>
        <v>0</v>
      </c>
      <c r="AL225" s="1317">
        <f t="shared" si="299"/>
        <v>0</v>
      </c>
    </row>
    <row r="226" spans="3:46" ht="12.75" customHeight="1" x14ac:dyDescent="0.2">
      <c r="C226" s="35"/>
      <c r="D226" s="862" t="str">
        <f t="shared" si="302"/>
        <v/>
      </c>
      <c r="E226" s="862" t="str">
        <f t="shared" si="302"/>
        <v/>
      </c>
      <c r="F226" s="862" t="str">
        <f t="shared" si="302"/>
        <v/>
      </c>
      <c r="G226" s="863" t="str">
        <f t="shared" si="281"/>
        <v/>
      </c>
      <c r="H226" s="864" t="str">
        <f t="shared" si="282"/>
        <v/>
      </c>
      <c r="I226" s="865" t="str">
        <f t="shared" si="282"/>
        <v/>
      </c>
      <c r="J226" s="863" t="str">
        <f t="shared" si="283"/>
        <v/>
      </c>
      <c r="K226" s="866" t="str">
        <f t="shared" si="303"/>
        <v/>
      </c>
      <c r="L226" s="1293"/>
      <c r="M226" s="847">
        <v>0</v>
      </c>
      <c r="N226" s="1521">
        <v>0</v>
      </c>
      <c r="O226" s="1522" t="str">
        <f t="shared" si="286"/>
        <v/>
      </c>
      <c r="P226" s="1305">
        <f t="shared" si="287"/>
        <v>0</v>
      </c>
      <c r="Q226" s="1304">
        <v>0</v>
      </c>
      <c r="R226" s="392" t="str">
        <f t="shared" si="288"/>
        <v/>
      </c>
      <c r="S226" s="392" t="str">
        <f t="shared" si="289"/>
        <v/>
      </c>
      <c r="T226" s="393">
        <f>ROUND(IF(K226="",0,+Q226/1659*(AB226*12*(1+tab!$D$111+tab!$D$112)-tab!$D$110)*tab!$D$108),-1)</f>
        <v>0</v>
      </c>
      <c r="U226" s="1321" t="str">
        <f t="shared" si="290"/>
        <v/>
      </c>
      <c r="V226" s="376"/>
      <c r="W226" s="952"/>
      <c r="AB226" s="1314" t="str">
        <f t="shared" si="285"/>
        <v/>
      </c>
      <c r="AC226" s="1374">
        <f>tab!$D$101</f>
        <v>0.53</v>
      </c>
      <c r="AD226" s="1313" t="e">
        <f t="shared" si="291"/>
        <v>#VALUE!</v>
      </c>
      <c r="AE226" s="1313" t="e">
        <f t="shared" si="292"/>
        <v>#VALUE!</v>
      </c>
      <c r="AF226" s="1313" t="e">
        <f t="shared" si="293"/>
        <v>#VALUE!</v>
      </c>
      <c r="AG226" s="14">
        <f t="shared" si="294"/>
        <v>0</v>
      </c>
      <c r="AH226" s="1315" t="str">
        <f t="shared" si="295"/>
        <v/>
      </c>
      <c r="AI226" s="14">
        <f t="shared" si="296"/>
        <v>0</v>
      </c>
      <c r="AJ226" s="1316">
        <f t="shared" si="297"/>
        <v>0.5</v>
      </c>
      <c r="AK226" s="6">
        <f t="shared" si="298"/>
        <v>0</v>
      </c>
      <c r="AL226" s="1317">
        <f t="shared" si="299"/>
        <v>0</v>
      </c>
    </row>
    <row r="227" spans="3:46" x14ac:dyDescent="0.2">
      <c r="C227" s="35"/>
      <c r="D227" s="377"/>
      <c r="E227" s="377"/>
      <c r="F227" s="377"/>
      <c r="G227" s="192"/>
      <c r="H227" s="378"/>
      <c r="I227" s="192"/>
      <c r="J227" s="379"/>
      <c r="K227" s="394">
        <f>SUM(K207:K226)</f>
        <v>0</v>
      </c>
      <c r="L227" s="1284"/>
      <c r="M227" s="1303">
        <f>SUM(M207:M226)</f>
        <v>0</v>
      </c>
      <c r="N227" s="1303">
        <f t="shared" ref="N227" si="304">SUM(N207:N226)</f>
        <v>0</v>
      </c>
      <c r="O227" s="1303">
        <f t="shared" ref="O227" si="305">SUM(O207:O226)</f>
        <v>0</v>
      </c>
      <c r="P227" s="1303">
        <f t="shared" ref="P227" si="306">SUM(P207:P226)</f>
        <v>0</v>
      </c>
      <c r="Q227" s="1303">
        <f t="shared" ref="Q227" si="307">SUM(Q207:Q226)</f>
        <v>0</v>
      </c>
      <c r="R227" s="1319">
        <f t="shared" ref="R227" si="308">SUM(R207:R226)</f>
        <v>0</v>
      </c>
      <c r="S227" s="1319">
        <f t="shared" ref="S227" si="309">SUM(S207:S226)</f>
        <v>0</v>
      </c>
      <c r="T227" s="1319">
        <f t="shared" ref="T227" si="310">SUM(T207:T226)</f>
        <v>0</v>
      </c>
      <c r="U227" s="1320">
        <f t="shared" ref="U227" si="311">SUM(U207:U226)</f>
        <v>0</v>
      </c>
      <c r="V227" s="361"/>
      <c r="W227" s="952"/>
      <c r="AB227" s="1314">
        <f>SUM(AB207:AB226)</f>
        <v>0</v>
      </c>
      <c r="AL227" s="1317">
        <f>SUM(AL207:AL226)</f>
        <v>0</v>
      </c>
    </row>
    <row r="228" spans="3:46" x14ac:dyDescent="0.2">
      <c r="C228" s="35"/>
      <c r="D228" s="187"/>
      <c r="E228" s="187"/>
      <c r="F228" s="187"/>
      <c r="G228" s="186"/>
      <c r="H228" s="193"/>
      <c r="I228" s="186"/>
      <c r="J228" s="361"/>
      <c r="K228" s="362"/>
      <c r="L228" s="1290"/>
      <c r="M228" s="362"/>
      <c r="N228" s="361"/>
      <c r="O228" s="361"/>
      <c r="P228" s="380"/>
      <c r="Q228" s="380"/>
      <c r="R228" s="380"/>
      <c r="S228" s="380"/>
      <c r="T228" s="365"/>
      <c r="U228" s="381"/>
      <c r="V228" s="361"/>
      <c r="W228" s="952"/>
    </row>
    <row r="229" spans="3:46" x14ac:dyDescent="0.2">
      <c r="W229" s="952"/>
    </row>
    <row r="230" spans="3:46" s="7" customFormat="1" x14ac:dyDescent="0.2">
      <c r="D230" s="276"/>
      <c r="E230" s="276"/>
      <c r="F230" s="276"/>
      <c r="G230" s="277"/>
      <c r="H230" s="278"/>
      <c r="I230" s="279"/>
      <c r="J230" s="279"/>
      <c r="K230" s="281"/>
      <c r="L230" s="1295"/>
      <c r="M230" s="286"/>
      <c r="O230" s="287"/>
      <c r="T230" s="229"/>
      <c r="U230" s="288"/>
      <c r="W230" s="1377"/>
      <c r="AC230" s="277"/>
      <c r="AD230" s="285"/>
      <c r="AL230" s="277"/>
      <c r="AM230" s="285"/>
      <c r="AT230" s="6"/>
    </row>
    <row r="231" spans="3:46" x14ac:dyDescent="0.2">
      <c r="C231" s="6" t="s">
        <v>145</v>
      </c>
      <c r="E231" s="256" t="str">
        <f>tab!K2</f>
        <v>2021/22</v>
      </c>
      <c r="W231" s="952"/>
    </row>
    <row r="232" spans="3:46" x14ac:dyDescent="0.2">
      <c r="C232" s="6" t="s">
        <v>146</v>
      </c>
      <c r="E232" s="256">
        <f>+tab!L3</f>
        <v>44470</v>
      </c>
      <c r="W232" s="952"/>
    </row>
    <row r="233" spans="3:46" s="7" customFormat="1" x14ac:dyDescent="0.2">
      <c r="D233" s="276"/>
      <c r="E233" s="276"/>
      <c r="F233" s="276"/>
      <c r="G233" s="277"/>
      <c r="H233" s="278"/>
      <c r="I233" s="279"/>
      <c r="J233" s="279"/>
      <c r="K233" s="281"/>
      <c r="L233" s="1295"/>
      <c r="M233" s="286"/>
      <c r="O233" s="287"/>
      <c r="T233" s="229"/>
      <c r="U233" s="288"/>
      <c r="W233" s="1377"/>
      <c r="AC233" s="277"/>
      <c r="AD233" s="285"/>
      <c r="AL233" s="277"/>
      <c r="AM233" s="285"/>
      <c r="AT233" s="6"/>
    </row>
    <row r="234" spans="3:46" ht="12.75" customHeight="1" x14ac:dyDescent="0.2">
      <c r="C234" s="35"/>
      <c r="D234" s="187"/>
      <c r="E234" s="93"/>
      <c r="F234" s="187"/>
      <c r="G234" s="186"/>
      <c r="H234" s="193"/>
      <c r="I234" s="361"/>
      <c r="J234" s="361"/>
      <c r="K234" s="362"/>
      <c r="L234" s="1290"/>
      <c r="M234" s="363"/>
      <c r="N234" s="35"/>
      <c r="O234" s="364"/>
      <c r="P234" s="35"/>
      <c r="Q234" s="35"/>
      <c r="R234" s="35"/>
      <c r="S234" s="35"/>
      <c r="T234" s="365"/>
      <c r="U234" s="366"/>
      <c r="V234" s="35"/>
      <c r="W234" s="952"/>
      <c r="X234" s="952"/>
      <c r="AC234" s="1306"/>
      <c r="AD234" s="1307"/>
      <c r="AE234" s="1306"/>
      <c r="AF234" s="1306"/>
      <c r="AG234" s="1306"/>
      <c r="AH234" s="1308"/>
      <c r="AI234" s="1309"/>
      <c r="AJ234" s="1310"/>
      <c r="AK234" s="1311"/>
      <c r="AL234" s="1312"/>
      <c r="AM234" s="259"/>
      <c r="AT234" s="7"/>
    </row>
    <row r="235" spans="3:46" s="399" customFormat="1" ht="12.75" customHeight="1" x14ac:dyDescent="0.2">
      <c r="C235" s="1281"/>
      <c r="D235" s="1275" t="s">
        <v>147</v>
      </c>
      <c r="E235" s="1276"/>
      <c r="F235" s="1276"/>
      <c r="G235" s="1276"/>
      <c r="H235" s="1276"/>
      <c r="I235" s="1276"/>
      <c r="J235" s="1276"/>
      <c r="K235" s="1276"/>
      <c r="L235" s="1296"/>
      <c r="M235" s="1327" t="s">
        <v>817</v>
      </c>
      <c r="N235" s="1328"/>
      <c r="O235" s="1329"/>
      <c r="P235" s="1329"/>
      <c r="Q235" s="1328"/>
      <c r="R235" s="1330" t="s">
        <v>818</v>
      </c>
      <c r="S235" s="1331"/>
      <c r="T235" s="1331"/>
      <c r="U235" s="1331"/>
      <c r="V235" s="1332"/>
      <c r="W235" s="1375"/>
      <c r="X235" s="1334"/>
      <c r="Y235" s="1335"/>
      <c r="Z235" s="1336"/>
      <c r="AA235" s="1336"/>
      <c r="AB235" s="1337"/>
      <c r="AC235" s="1338"/>
      <c r="AD235" s="1339"/>
      <c r="AE235" s="1338"/>
      <c r="AF235" s="1340"/>
      <c r="AG235" s="1340"/>
      <c r="AH235" s="1341"/>
      <c r="AI235" s="1342"/>
      <c r="AJ235" s="1341"/>
      <c r="AK235" s="1343"/>
      <c r="AL235" s="1343"/>
      <c r="AN235" s="268"/>
      <c r="AO235" s="268"/>
    </row>
    <row r="236" spans="3:46" ht="12.75" customHeight="1" x14ac:dyDescent="0.2">
      <c r="C236" s="367"/>
      <c r="D236" s="383" t="s">
        <v>148</v>
      </c>
      <c r="E236" s="383" t="s">
        <v>149</v>
      </c>
      <c r="F236" s="383" t="s">
        <v>150</v>
      </c>
      <c r="G236" s="384" t="s">
        <v>151</v>
      </c>
      <c r="H236" s="385" t="s">
        <v>152</v>
      </c>
      <c r="I236" s="384" t="s">
        <v>115</v>
      </c>
      <c r="J236" s="384" t="s">
        <v>153</v>
      </c>
      <c r="K236" s="386" t="s">
        <v>154</v>
      </c>
      <c r="L236" s="1291"/>
      <c r="M236" s="1354" t="s">
        <v>819</v>
      </c>
      <c r="N236" s="1355" t="s">
        <v>820</v>
      </c>
      <c r="O236" s="1356" t="s">
        <v>821</v>
      </c>
      <c r="P236" s="1357" t="s">
        <v>822</v>
      </c>
      <c r="Q236" s="1355" t="s">
        <v>823</v>
      </c>
      <c r="R236" s="1356" t="s">
        <v>155</v>
      </c>
      <c r="S236" s="1354" t="s">
        <v>824</v>
      </c>
      <c r="T236" s="1354" t="s">
        <v>825</v>
      </c>
      <c r="U236" s="1354" t="s">
        <v>155</v>
      </c>
      <c r="V236" s="1358"/>
      <c r="W236" s="1376"/>
      <c r="X236" s="1360"/>
      <c r="Y236" s="1361"/>
      <c r="Z236" s="1362"/>
      <c r="AA236" s="1362"/>
      <c r="AB236" s="1371" t="s">
        <v>290</v>
      </c>
      <c r="AC236" s="1372" t="s">
        <v>826</v>
      </c>
      <c r="AD236" s="1373" t="s">
        <v>827</v>
      </c>
      <c r="AE236" s="1373" t="s">
        <v>827</v>
      </c>
      <c r="AF236" s="1373" t="s">
        <v>828</v>
      </c>
      <c r="AG236" s="1373" t="s">
        <v>823</v>
      </c>
      <c r="AH236" s="1373" t="s">
        <v>829</v>
      </c>
      <c r="AI236" s="1373" t="s">
        <v>830</v>
      </c>
      <c r="AJ236" s="1373" t="s">
        <v>831</v>
      </c>
      <c r="AK236" s="1373" t="s">
        <v>157</v>
      </c>
      <c r="AL236" s="1165" t="s">
        <v>303</v>
      </c>
      <c r="AM236" s="6"/>
      <c r="AN236" s="268"/>
      <c r="AO236" s="267"/>
    </row>
    <row r="237" spans="3:46" ht="12.75" customHeight="1" x14ac:dyDescent="0.2">
      <c r="C237" s="367"/>
      <c r="D237" s="388"/>
      <c r="E237" s="383"/>
      <c r="F237" s="389"/>
      <c r="G237" s="384" t="s">
        <v>159</v>
      </c>
      <c r="H237" s="385" t="s">
        <v>160</v>
      </c>
      <c r="I237" s="384"/>
      <c r="J237" s="384"/>
      <c r="K237" s="386"/>
      <c r="L237" s="1291"/>
      <c r="M237" s="1367" t="s">
        <v>832</v>
      </c>
      <c r="N237" s="1355" t="s">
        <v>833</v>
      </c>
      <c r="O237" s="1356" t="s">
        <v>834</v>
      </c>
      <c r="P237" s="1357" t="s">
        <v>95</v>
      </c>
      <c r="Q237" s="1355" t="s">
        <v>835</v>
      </c>
      <c r="R237" s="1356" t="s">
        <v>836</v>
      </c>
      <c r="S237" s="1368" t="s">
        <v>837</v>
      </c>
      <c r="T237" s="1368" t="s">
        <v>838</v>
      </c>
      <c r="U237" s="1354" t="s">
        <v>95</v>
      </c>
      <c r="V237" s="1358"/>
      <c r="W237" s="1376"/>
      <c r="X237" s="1360"/>
      <c r="Y237" s="1369"/>
      <c r="Z237" s="1362"/>
      <c r="AA237" s="1362"/>
      <c r="AB237" s="1373" t="s">
        <v>839</v>
      </c>
      <c r="AC237" s="1374">
        <f>tab!$D$101</f>
        <v>0.53</v>
      </c>
      <c r="AD237" s="1373" t="s">
        <v>840</v>
      </c>
      <c r="AE237" s="1373" t="s">
        <v>841</v>
      </c>
      <c r="AF237" s="1373" t="s">
        <v>842</v>
      </c>
      <c r="AG237" s="1373" t="s">
        <v>835</v>
      </c>
      <c r="AH237" s="1373" t="s">
        <v>843</v>
      </c>
      <c r="AI237" s="1373" t="s">
        <v>843</v>
      </c>
      <c r="AJ237" s="1373" t="s">
        <v>844</v>
      </c>
      <c r="AK237" s="1373"/>
      <c r="AL237" s="1373" t="s">
        <v>156</v>
      </c>
      <c r="AM237" s="6"/>
      <c r="AO237" s="269"/>
    </row>
    <row r="238" spans="3:46" ht="12.75" customHeight="1" x14ac:dyDescent="0.2">
      <c r="C238" s="35"/>
      <c r="D238" s="187"/>
      <c r="E238" s="187"/>
      <c r="F238" s="187"/>
      <c r="G238" s="186"/>
      <c r="H238" s="193"/>
      <c r="I238" s="368"/>
      <c r="J238" s="368"/>
      <c r="K238" s="369"/>
      <c r="L238" s="1292"/>
      <c r="M238" s="369"/>
      <c r="N238" s="370"/>
      <c r="O238" s="371"/>
      <c r="P238" s="372"/>
      <c r="Q238" s="372"/>
      <c r="R238" s="372"/>
      <c r="S238" s="372"/>
      <c r="T238" s="373"/>
      <c r="U238" s="374"/>
      <c r="V238" s="370"/>
      <c r="W238" s="952"/>
      <c r="AC238" s="6"/>
      <c r="AD238" s="6"/>
      <c r="AL238" s="6"/>
      <c r="AM238" s="6"/>
      <c r="AO238" s="269"/>
    </row>
    <row r="239" spans="3:46" ht="12.75" customHeight="1" x14ac:dyDescent="0.2">
      <c r="C239" s="35"/>
      <c r="D239" s="862" t="str">
        <f t="shared" ref="D239:F258" si="312">IF(D207=0,"",D207)</f>
        <v/>
      </c>
      <c r="E239" s="862" t="str">
        <f t="shared" si="312"/>
        <v/>
      </c>
      <c r="F239" s="862" t="str">
        <f t="shared" si="312"/>
        <v/>
      </c>
      <c r="G239" s="863" t="str">
        <f t="shared" ref="G239:G258" si="313">IF(G207="","",G207+1)</f>
        <v/>
      </c>
      <c r="H239" s="864" t="str">
        <f t="shared" ref="H239:I258" si="314">IF(H207=0,"",H207)</f>
        <v/>
      </c>
      <c r="I239" s="865" t="str">
        <f t="shared" si="314"/>
        <v/>
      </c>
      <c r="J239" s="863" t="str">
        <f t="shared" ref="J239:J258" si="315">IF(E239="","",IF(J207&lt;VLOOKUP(I239,tabelsalaris2015VO,19,FALSE),J207+1,J207))</f>
        <v/>
      </c>
      <c r="K239" s="866" t="str">
        <f t="shared" ref="K239:K258" si="316">IF(K207="","",K207)</f>
        <v/>
      </c>
      <c r="L239" s="1293"/>
      <c r="M239" s="847">
        <v>0</v>
      </c>
      <c r="N239" s="1521">
        <v>0</v>
      </c>
      <c r="O239" s="1522" t="str">
        <f>IF(K239="","",K239*50)</f>
        <v/>
      </c>
      <c r="P239" s="1305">
        <f>SUM(M239:O239)</f>
        <v>0</v>
      </c>
      <c r="Q239" s="1304">
        <v>0</v>
      </c>
      <c r="R239" s="392" t="str">
        <f>IF(K239="","",(1659*K239-P239)*AE239)</f>
        <v/>
      </c>
      <c r="S239" s="392" t="str">
        <f>IF(K239="","",P239*AF239+AD239*(AH239+AI239*(1-AJ239)))</f>
        <v/>
      </c>
      <c r="T239" s="393">
        <f>ROUND(IF(K239="",0,+Q239/1659*(AB239*12*(1+tab!$D$111+tab!$D$112)-tab!$D$110)*tab!$D$108),-1)</f>
        <v>0</v>
      </c>
      <c r="U239" s="1321" t="str">
        <f>IF(K239="","",IF(E239=0,0,(R239+S239+T239)))</f>
        <v/>
      </c>
      <c r="V239" s="376"/>
      <c r="W239" s="952"/>
      <c r="AB239" s="1314" t="str">
        <f t="shared" ref="AB239:AB258" si="317">IF(I239="","",VLOOKUP(I239,tabelsalaris2016VO,J239+2,FALSE)*5/12+VLOOKUP(I239,tabelsalaris2016VO,J239+2,FALSE)*7/12)</f>
        <v/>
      </c>
      <c r="AC239" s="1374">
        <f>tab!$D$101</f>
        <v>0.53</v>
      </c>
      <c r="AD239" s="1313" t="e">
        <f>AB239*12/1659</f>
        <v>#VALUE!</v>
      </c>
      <c r="AE239" s="1313" t="e">
        <f>AB239*12*(1+AC239)/1659</f>
        <v>#VALUE!</v>
      </c>
      <c r="AF239" s="1313" t="e">
        <f>+AE239-AD239</f>
        <v>#VALUE!</v>
      </c>
      <c r="AG239" s="14">
        <f>Q239</f>
        <v>0</v>
      </c>
      <c r="AH239" s="1315" t="str">
        <f>O239</f>
        <v/>
      </c>
      <c r="AI239" s="14">
        <f>(M239+N239)</f>
        <v>0</v>
      </c>
      <c r="AJ239" s="1316">
        <f>IF(I239&gt;8,50%,40%)</f>
        <v>0.5</v>
      </c>
      <c r="AK239" s="6">
        <f>IF(G239&lt;25,0,IF(G239=25,25,IF(G239&lt;40,0,IF(G239=40,40,IF(G239&gt;=40,0)))))</f>
        <v>0</v>
      </c>
      <c r="AL239" s="1317">
        <f>IF(AK239=25,AB239*1.08*K239/2,IF(AK239=40,AB239*1.08*K239,0))</f>
        <v>0</v>
      </c>
    </row>
    <row r="240" spans="3:46" ht="12.75" customHeight="1" x14ac:dyDescent="0.2">
      <c r="C240" s="35"/>
      <c r="D240" s="862" t="str">
        <f t="shared" si="312"/>
        <v/>
      </c>
      <c r="E240" s="862" t="str">
        <f t="shared" si="312"/>
        <v/>
      </c>
      <c r="F240" s="862" t="str">
        <f t="shared" si="312"/>
        <v/>
      </c>
      <c r="G240" s="863" t="str">
        <f t="shared" si="313"/>
        <v/>
      </c>
      <c r="H240" s="864" t="str">
        <f t="shared" si="314"/>
        <v/>
      </c>
      <c r="I240" s="865" t="str">
        <f t="shared" si="314"/>
        <v/>
      </c>
      <c r="J240" s="863" t="str">
        <f t="shared" si="315"/>
        <v/>
      </c>
      <c r="K240" s="866" t="str">
        <f t="shared" si="316"/>
        <v/>
      </c>
      <c r="L240" s="1293"/>
      <c r="M240" s="847">
        <v>0</v>
      </c>
      <c r="N240" s="1521">
        <v>0</v>
      </c>
      <c r="O240" s="1522" t="str">
        <f t="shared" ref="O240:O258" si="318">IF(K240="","",K240*50)</f>
        <v/>
      </c>
      <c r="P240" s="1305">
        <f t="shared" ref="P240:P258" si="319">SUM(M240:O240)</f>
        <v>0</v>
      </c>
      <c r="Q240" s="1304">
        <v>0</v>
      </c>
      <c r="R240" s="392" t="str">
        <f t="shared" ref="R240:R258" si="320">IF(K240="","",(1659*K240-P240)*AE240)</f>
        <v/>
      </c>
      <c r="S240" s="392" t="str">
        <f t="shared" ref="S240:S258" si="321">IF(K240="","",P240*AF240+AD240*(AH240+AI240*(1-AJ240)))</f>
        <v/>
      </c>
      <c r="T240" s="393">
        <f>ROUND(IF(K240="",0,+Q240/1659*(AB240*12*(1+tab!$D$111+tab!$D$112)-tab!$D$110)*tab!$D$108),-1)</f>
        <v>0</v>
      </c>
      <c r="U240" s="1321" t="str">
        <f t="shared" ref="U240:U258" si="322">IF(K240="","",IF(E240=0,0,(R240+S240+T240)))</f>
        <v/>
      </c>
      <c r="V240" s="376"/>
      <c r="W240" s="952"/>
      <c r="AB240" s="1314" t="str">
        <f t="shared" si="317"/>
        <v/>
      </c>
      <c r="AC240" s="1374">
        <f>tab!$D$101</f>
        <v>0.53</v>
      </c>
      <c r="AD240" s="1313" t="e">
        <f t="shared" ref="AD240:AD258" si="323">AB240*12/1659</f>
        <v>#VALUE!</v>
      </c>
      <c r="AE240" s="1313" t="e">
        <f t="shared" ref="AE240:AE258" si="324">AB240*12*(1+AC240)/1659</f>
        <v>#VALUE!</v>
      </c>
      <c r="AF240" s="1313" t="e">
        <f t="shared" ref="AF240:AF258" si="325">+AE240-AD240</f>
        <v>#VALUE!</v>
      </c>
      <c r="AG240" s="14">
        <f t="shared" ref="AG240:AG258" si="326">Q240</f>
        <v>0</v>
      </c>
      <c r="AH240" s="1315" t="str">
        <f t="shared" ref="AH240:AH258" si="327">O240</f>
        <v/>
      </c>
      <c r="AI240" s="14">
        <f t="shared" ref="AI240:AI258" si="328">(M240+N240)</f>
        <v>0</v>
      </c>
      <c r="AJ240" s="1316">
        <f t="shared" ref="AJ240:AJ258" si="329">IF(I240&gt;8,50%,40%)</f>
        <v>0.5</v>
      </c>
      <c r="AK240" s="6">
        <f t="shared" ref="AK240:AK258" si="330">IF(G240&lt;25,0,IF(G240=25,25,IF(G240&lt;40,0,IF(G240=40,40,IF(G240&gt;=40,0)))))</f>
        <v>0</v>
      </c>
      <c r="AL240" s="1317">
        <f t="shared" ref="AL240:AL258" si="331">IF(AK240=25,AB240*1.08*K240/2,IF(AK240=40,AB240*1.08*K240,0))</f>
        <v>0</v>
      </c>
    </row>
    <row r="241" spans="3:38" ht="12.75" customHeight="1" x14ac:dyDescent="0.2">
      <c r="C241" s="35"/>
      <c r="D241" s="862" t="str">
        <f t="shared" si="312"/>
        <v/>
      </c>
      <c r="E241" s="867" t="str">
        <f t="shared" si="312"/>
        <v/>
      </c>
      <c r="F241" s="867" t="str">
        <f t="shared" si="312"/>
        <v/>
      </c>
      <c r="G241" s="865" t="str">
        <f t="shared" si="313"/>
        <v/>
      </c>
      <c r="H241" s="868" t="str">
        <f t="shared" si="314"/>
        <v/>
      </c>
      <c r="I241" s="865" t="str">
        <f t="shared" si="314"/>
        <v/>
      </c>
      <c r="J241" s="863" t="str">
        <f t="shared" si="315"/>
        <v/>
      </c>
      <c r="K241" s="869" t="str">
        <f t="shared" si="316"/>
        <v/>
      </c>
      <c r="L241" s="1294"/>
      <c r="M241" s="847">
        <v>0</v>
      </c>
      <c r="N241" s="1521">
        <v>0</v>
      </c>
      <c r="O241" s="1522" t="str">
        <f t="shared" si="318"/>
        <v/>
      </c>
      <c r="P241" s="1305">
        <f t="shared" si="319"/>
        <v>0</v>
      </c>
      <c r="Q241" s="1304">
        <v>0</v>
      </c>
      <c r="R241" s="392" t="str">
        <f t="shared" si="320"/>
        <v/>
      </c>
      <c r="S241" s="392" t="str">
        <f t="shared" si="321"/>
        <v/>
      </c>
      <c r="T241" s="393">
        <f>ROUND(IF(K241="",0,+Q241/1659*(AB241*12*(1+tab!$D$111+tab!$D$112)-tab!$D$110)*tab!$D$108),-1)</f>
        <v>0</v>
      </c>
      <c r="U241" s="1321" t="str">
        <f t="shared" si="322"/>
        <v/>
      </c>
      <c r="V241" s="376"/>
      <c r="W241" s="952"/>
      <c r="AB241" s="1314" t="str">
        <f t="shared" si="317"/>
        <v/>
      </c>
      <c r="AC241" s="1374">
        <f>tab!$D$101</f>
        <v>0.53</v>
      </c>
      <c r="AD241" s="1313" t="e">
        <f t="shared" si="323"/>
        <v>#VALUE!</v>
      </c>
      <c r="AE241" s="1313" t="e">
        <f t="shared" si="324"/>
        <v>#VALUE!</v>
      </c>
      <c r="AF241" s="1313" t="e">
        <f t="shared" si="325"/>
        <v>#VALUE!</v>
      </c>
      <c r="AG241" s="14">
        <f t="shared" si="326"/>
        <v>0</v>
      </c>
      <c r="AH241" s="1315" t="str">
        <f t="shared" si="327"/>
        <v/>
      </c>
      <c r="AI241" s="14">
        <f t="shared" si="328"/>
        <v>0</v>
      </c>
      <c r="AJ241" s="1316">
        <f t="shared" si="329"/>
        <v>0.5</v>
      </c>
      <c r="AK241" s="6">
        <f t="shared" si="330"/>
        <v>0</v>
      </c>
      <c r="AL241" s="1317">
        <f t="shared" si="331"/>
        <v>0</v>
      </c>
    </row>
    <row r="242" spans="3:38" ht="12.75" customHeight="1" x14ac:dyDescent="0.2">
      <c r="C242" s="35"/>
      <c r="D242" s="862" t="str">
        <f t="shared" si="312"/>
        <v/>
      </c>
      <c r="E242" s="862" t="str">
        <f t="shared" si="312"/>
        <v/>
      </c>
      <c r="F242" s="862" t="str">
        <f t="shared" si="312"/>
        <v/>
      </c>
      <c r="G242" s="863" t="str">
        <f t="shared" si="313"/>
        <v/>
      </c>
      <c r="H242" s="864" t="str">
        <f t="shared" si="314"/>
        <v/>
      </c>
      <c r="I242" s="865" t="str">
        <f t="shared" si="314"/>
        <v/>
      </c>
      <c r="J242" s="863" t="str">
        <f t="shared" si="315"/>
        <v/>
      </c>
      <c r="K242" s="866" t="str">
        <f t="shared" si="316"/>
        <v/>
      </c>
      <c r="L242" s="1293"/>
      <c r="M242" s="847">
        <v>0</v>
      </c>
      <c r="N242" s="1521">
        <v>0</v>
      </c>
      <c r="O242" s="1522" t="str">
        <f t="shared" si="318"/>
        <v/>
      </c>
      <c r="P242" s="1305">
        <f t="shared" si="319"/>
        <v>0</v>
      </c>
      <c r="Q242" s="1304">
        <v>0</v>
      </c>
      <c r="R242" s="392" t="str">
        <f t="shared" si="320"/>
        <v/>
      </c>
      <c r="S242" s="392" t="str">
        <f t="shared" si="321"/>
        <v/>
      </c>
      <c r="T242" s="393">
        <f>ROUND(IF(K242="",0,+Q242/1659*(AB242*12*(1+tab!$D$111+tab!$D$112)-tab!$D$110)*tab!$D$108),-1)</f>
        <v>0</v>
      </c>
      <c r="U242" s="1321" t="str">
        <f t="shared" si="322"/>
        <v/>
      </c>
      <c r="V242" s="376"/>
      <c r="W242" s="952"/>
      <c r="AB242" s="1314" t="str">
        <f t="shared" si="317"/>
        <v/>
      </c>
      <c r="AC242" s="1374">
        <f>tab!$D$101</f>
        <v>0.53</v>
      </c>
      <c r="AD242" s="1313" t="e">
        <f t="shared" si="323"/>
        <v>#VALUE!</v>
      </c>
      <c r="AE242" s="1313" t="e">
        <f t="shared" si="324"/>
        <v>#VALUE!</v>
      </c>
      <c r="AF242" s="1313" t="e">
        <f t="shared" si="325"/>
        <v>#VALUE!</v>
      </c>
      <c r="AG242" s="14">
        <f t="shared" si="326"/>
        <v>0</v>
      </c>
      <c r="AH242" s="1315" t="str">
        <f t="shared" si="327"/>
        <v/>
      </c>
      <c r="AI242" s="14">
        <f t="shared" si="328"/>
        <v>0</v>
      </c>
      <c r="AJ242" s="1316">
        <f t="shared" si="329"/>
        <v>0.5</v>
      </c>
      <c r="AK242" s="6">
        <f t="shared" si="330"/>
        <v>0</v>
      </c>
      <c r="AL242" s="1317">
        <f t="shared" si="331"/>
        <v>0</v>
      </c>
    </row>
    <row r="243" spans="3:38" ht="12.75" customHeight="1" x14ac:dyDescent="0.2">
      <c r="C243" s="35"/>
      <c r="D243" s="862" t="str">
        <f t="shared" si="312"/>
        <v/>
      </c>
      <c r="E243" s="862" t="str">
        <f t="shared" si="312"/>
        <v/>
      </c>
      <c r="F243" s="862" t="str">
        <f t="shared" si="312"/>
        <v/>
      </c>
      <c r="G243" s="863" t="str">
        <f t="shared" si="313"/>
        <v/>
      </c>
      <c r="H243" s="864" t="str">
        <f t="shared" si="314"/>
        <v/>
      </c>
      <c r="I243" s="865" t="str">
        <f t="shared" si="314"/>
        <v/>
      </c>
      <c r="J243" s="863" t="str">
        <f t="shared" si="315"/>
        <v/>
      </c>
      <c r="K243" s="866" t="str">
        <f t="shared" si="316"/>
        <v/>
      </c>
      <c r="L243" s="1293"/>
      <c r="M243" s="847">
        <v>0</v>
      </c>
      <c r="N243" s="1521">
        <v>0</v>
      </c>
      <c r="O243" s="1522" t="str">
        <f t="shared" si="318"/>
        <v/>
      </c>
      <c r="P243" s="1305">
        <f t="shared" si="319"/>
        <v>0</v>
      </c>
      <c r="Q243" s="1304">
        <v>0</v>
      </c>
      <c r="R243" s="392" t="str">
        <f t="shared" si="320"/>
        <v/>
      </c>
      <c r="S243" s="392" t="str">
        <f t="shared" si="321"/>
        <v/>
      </c>
      <c r="T243" s="393">
        <f>ROUND(IF(K243="",0,+Q243/1659*(AB243*12*(1+tab!$D$111+tab!$D$112)-tab!$D$110)*tab!$D$108),-1)</f>
        <v>0</v>
      </c>
      <c r="U243" s="1321" t="str">
        <f t="shared" si="322"/>
        <v/>
      </c>
      <c r="V243" s="376"/>
      <c r="W243" s="952"/>
      <c r="AB243" s="1314" t="str">
        <f t="shared" si="317"/>
        <v/>
      </c>
      <c r="AC243" s="1374">
        <f>tab!$D$101</f>
        <v>0.53</v>
      </c>
      <c r="AD243" s="1313" t="e">
        <f t="shared" si="323"/>
        <v>#VALUE!</v>
      </c>
      <c r="AE243" s="1313" t="e">
        <f t="shared" si="324"/>
        <v>#VALUE!</v>
      </c>
      <c r="AF243" s="1313" t="e">
        <f t="shared" si="325"/>
        <v>#VALUE!</v>
      </c>
      <c r="AG243" s="14">
        <f t="shared" si="326"/>
        <v>0</v>
      </c>
      <c r="AH243" s="1315" t="str">
        <f t="shared" si="327"/>
        <v/>
      </c>
      <c r="AI243" s="14">
        <f t="shared" si="328"/>
        <v>0</v>
      </c>
      <c r="AJ243" s="1316">
        <f t="shared" si="329"/>
        <v>0.5</v>
      </c>
      <c r="AK243" s="6">
        <f t="shared" si="330"/>
        <v>0</v>
      </c>
      <c r="AL243" s="1317">
        <f t="shared" si="331"/>
        <v>0</v>
      </c>
    </row>
    <row r="244" spans="3:38" ht="12.75" customHeight="1" x14ac:dyDescent="0.2">
      <c r="C244" s="35"/>
      <c r="D244" s="862" t="str">
        <f t="shared" si="312"/>
        <v/>
      </c>
      <c r="E244" s="862" t="str">
        <f t="shared" si="312"/>
        <v/>
      </c>
      <c r="F244" s="862" t="str">
        <f t="shared" si="312"/>
        <v/>
      </c>
      <c r="G244" s="863" t="str">
        <f t="shared" si="313"/>
        <v/>
      </c>
      <c r="H244" s="864" t="str">
        <f t="shared" si="314"/>
        <v/>
      </c>
      <c r="I244" s="865" t="str">
        <f t="shared" si="314"/>
        <v/>
      </c>
      <c r="J244" s="863" t="str">
        <f t="shared" si="315"/>
        <v/>
      </c>
      <c r="K244" s="866" t="str">
        <f t="shared" si="316"/>
        <v/>
      </c>
      <c r="L244" s="1293"/>
      <c r="M244" s="847">
        <v>0</v>
      </c>
      <c r="N244" s="1521">
        <v>0</v>
      </c>
      <c r="O244" s="1522" t="str">
        <f t="shared" si="318"/>
        <v/>
      </c>
      <c r="P244" s="1305">
        <f t="shared" si="319"/>
        <v>0</v>
      </c>
      <c r="Q244" s="1304">
        <v>0</v>
      </c>
      <c r="R244" s="392" t="str">
        <f t="shared" si="320"/>
        <v/>
      </c>
      <c r="S244" s="392" t="str">
        <f t="shared" si="321"/>
        <v/>
      </c>
      <c r="T244" s="393">
        <f>ROUND(IF(K244="",0,+Q244/1659*(AB244*12*(1+tab!$D$111+tab!$D$112)-tab!$D$110)*tab!$D$108),-1)</f>
        <v>0</v>
      </c>
      <c r="U244" s="1321" t="str">
        <f t="shared" si="322"/>
        <v/>
      </c>
      <c r="V244" s="376"/>
      <c r="W244" s="952"/>
      <c r="AB244" s="1314" t="str">
        <f t="shared" si="317"/>
        <v/>
      </c>
      <c r="AC244" s="1374">
        <f>tab!$D$101</f>
        <v>0.53</v>
      </c>
      <c r="AD244" s="1313" t="e">
        <f t="shared" si="323"/>
        <v>#VALUE!</v>
      </c>
      <c r="AE244" s="1313" t="e">
        <f t="shared" si="324"/>
        <v>#VALUE!</v>
      </c>
      <c r="AF244" s="1313" t="e">
        <f t="shared" si="325"/>
        <v>#VALUE!</v>
      </c>
      <c r="AG244" s="14">
        <f t="shared" si="326"/>
        <v>0</v>
      </c>
      <c r="AH244" s="1315" t="str">
        <f t="shared" si="327"/>
        <v/>
      </c>
      <c r="AI244" s="14">
        <f t="shared" si="328"/>
        <v>0</v>
      </c>
      <c r="AJ244" s="1316">
        <f t="shared" si="329"/>
        <v>0.5</v>
      </c>
      <c r="AK244" s="6">
        <f t="shared" si="330"/>
        <v>0</v>
      </c>
      <c r="AL244" s="1317">
        <f t="shared" si="331"/>
        <v>0</v>
      </c>
    </row>
    <row r="245" spans="3:38" ht="12.75" customHeight="1" x14ac:dyDescent="0.2">
      <c r="C245" s="35"/>
      <c r="D245" s="862" t="str">
        <f t="shared" si="312"/>
        <v/>
      </c>
      <c r="E245" s="862" t="str">
        <f t="shared" si="312"/>
        <v/>
      </c>
      <c r="F245" s="862" t="str">
        <f t="shared" si="312"/>
        <v/>
      </c>
      <c r="G245" s="863" t="str">
        <f t="shared" si="313"/>
        <v/>
      </c>
      <c r="H245" s="864" t="str">
        <f t="shared" si="314"/>
        <v/>
      </c>
      <c r="I245" s="865" t="str">
        <f t="shared" si="314"/>
        <v/>
      </c>
      <c r="J245" s="863" t="str">
        <f t="shared" si="315"/>
        <v/>
      </c>
      <c r="K245" s="866" t="str">
        <f t="shared" si="316"/>
        <v/>
      </c>
      <c r="L245" s="1293"/>
      <c r="M245" s="847">
        <v>0</v>
      </c>
      <c r="N245" s="1521">
        <v>0</v>
      </c>
      <c r="O245" s="1522" t="str">
        <f t="shared" si="318"/>
        <v/>
      </c>
      <c r="P245" s="1305">
        <f t="shared" si="319"/>
        <v>0</v>
      </c>
      <c r="Q245" s="1304">
        <v>0</v>
      </c>
      <c r="R245" s="392" t="str">
        <f t="shared" si="320"/>
        <v/>
      </c>
      <c r="S245" s="392" t="str">
        <f t="shared" si="321"/>
        <v/>
      </c>
      <c r="T245" s="393">
        <f>ROUND(IF(K245="",0,+Q245/1659*(AB245*12*(1+tab!$D$111+tab!$D$112)-tab!$D$110)*tab!$D$108),-1)</f>
        <v>0</v>
      </c>
      <c r="U245" s="1321" t="str">
        <f t="shared" si="322"/>
        <v/>
      </c>
      <c r="V245" s="376"/>
      <c r="W245" s="952"/>
      <c r="AB245" s="1314" t="str">
        <f t="shared" si="317"/>
        <v/>
      </c>
      <c r="AC245" s="1374">
        <f>tab!$D$101</f>
        <v>0.53</v>
      </c>
      <c r="AD245" s="1313" t="e">
        <f t="shared" si="323"/>
        <v>#VALUE!</v>
      </c>
      <c r="AE245" s="1313" t="e">
        <f t="shared" si="324"/>
        <v>#VALUE!</v>
      </c>
      <c r="AF245" s="1313" t="e">
        <f t="shared" si="325"/>
        <v>#VALUE!</v>
      </c>
      <c r="AG245" s="14">
        <f t="shared" si="326"/>
        <v>0</v>
      </c>
      <c r="AH245" s="1315" t="str">
        <f t="shared" si="327"/>
        <v/>
      </c>
      <c r="AI245" s="14">
        <f t="shared" si="328"/>
        <v>0</v>
      </c>
      <c r="AJ245" s="1316">
        <f t="shared" si="329"/>
        <v>0.5</v>
      </c>
      <c r="AK245" s="6">
        <f t="shared" si="330"/>
        <v>0</v>
      </c>
      <c r="AL245" s="1317">
        <f t="shared" si="331"/>
        <v>0</v>
      </c>
    </row>
    <row r="246" spans="3:38" ht="12.75" customHeight="1" x14ac:dyDescent="0.2">
      <c r="C246" s="35"/>
      <c r="D246" s="862" t="str">
        <f t="shared" si="312"/>
        <v/>
      </c>
      <c r="E246" s="862" t="str">
        <f t="shared" si="312"/>
        <v/>
      </c>
      <c r="F246" s="862" t="str">
        <f t="shared" si="312"/>
        <v/>
      </c>
      <c r="G246" s="863" t="str">
        <f t="shared" si="313"/>
        <v/>
      </c>
      <c r="H246" s="864" t="str">
        <f t="shared" si="314"/>
        <v/>
      </c>
      <c r="I246" s="865" t="str">
        <f t="shared" si="314"/>
        <v/>
      </c>
      <c r="J246" s="863" t="str">
        <f t="shared" si="315"/>
        <v/>
      </c>
      <c r="K246" s="866" t="str">
        <f t="shared" si="316"/>
        <v/>
      </c>
      <c r="L246" s="1293"/>
      <c r="M246" s="847">
        <v>0</v>
      </c>
      <c r="N246" s="1521">
        <v>0</v>
      </c>
      <c r="O246" s="1522" t="str">
        <f t="shared" si="318"/>
        <v/>
      </c>
      <c r="P246" s="1305">
        <f t="shared" si="319"/>
        <v>0</v>
      </c>
      <c r="Q246" s="1304">
        <v>0</v>
      </c>
      <c r="R246" s="392" t="str">
        <f t="shared" si="320"/>
        <v/>
      </c>
      <c r="S246" s="392" t="str">
        <f t="shared" si="321"/>
        <v/>
      </c>
      <c r="T246" s="393">
        <f>ROUND(IF(K246="",0,+Q246/1659*(AB246*12*(1+tab!$D$111+tab!$D$112)-tab!$D$110)*tab!$D$108),-1)</f>
        <v>0</v>
      </c>
      <c r="U246" s="1321" t="str">
        <f t="shared" si="322"/>
        <v/>
      </c>
      <c r="V246" s="376"/>
      <c r="W246" s="952"/>
      <c r="AB246" s="1314" t="str">
        <f t="shared" si="317"/>
        <v/>
      </c>
      <c r="AC246" s="1374">
        <f>tab!$D$101</f>
        <v>0.53</v>
      </c>
      <c r="AD246" s="1313" t="e">
        <f t="shared" si="323"/>
        <v>#VALUE!</v>
      </c>
      <c r="AE246" s="1313" t="e">
        <f t="shared" si="324"/>
        <v>#VALUE!</v>
      </c>
      <c r="AF246" s="1313" t="e">
        <f t="shared" si="325"/>
        <v>#VALUE!</v>
      </c>
      <c r="AG246" s="14">
        <f t="shared" si="326"/>
        <v>0</v>
      </c>
      <c r="AH246" s="1315" t="str">
        <f t="shared" si="327"/>
        <v/>
      </c>
      <c r="AI246" s="14">
        <f t="shared" si="328"/>
        <v>0</v>
      </c>
      <c r="AJ246" s="1316">
        <f t="shared" si="329"/>
        <v>0.5</v>
      </c>
      <c r="AK246" s="6">
        <f t="shared" si="330"/>
        <v>0</v>
      </c>
      <c r="AL246" s="1317">
        <f t="shared" si="331"/>
        <v>0</v>
      </c>
    </row>
    <row r="247" spans="3:38" ht="12.75" customHeight="1" x14ac:dyDescent="0.2">
      <c r="C247" s="35"/>
      <c r="D247" s="862" t="str">
        <f t="shared" si="312"/>
        <v/>
      </c>
      <c r="E247" s="862" t="str">
        <f t="shared" si="312"/>
        <v/>
      </c>
      <c r="F247" s="862" t="str">
        <f t="shared" si="312"/>
        <v/>
      </c>
      <c r="G247" s="863" t="str">
        <f t="shared" si="313"/>
        <v/>
      </c>
      <c r="H247" s="864" t="str">
        <f t="shared" si="314"/>
        <v/>
      </c>
      <c r="I247" s="865" t="str">
        <f t="shared" si="314"/>
        <v/>
      </c>
      <c r="J247" s="863" t="str">
        <f t="shared" si="315"/>
        <v/>
      </c>
      <c r="K247" s="866" t="str">
        <f t="shared" si="316"/>
        <v/>
      </c>
      <c r="L247" s="1293"/>
      <c r="M247" s="847">
        <v>0</v>
      </c>
      <c r="N247" s="1521">
        <v>0</v>
      </c>
      <c r="O247" s="1522" t="str">
        <f t="shared" si="318"/>
        <v/>
      </c>
      <c r="P247" s="1305">
        <f t="shared" si="319"/>
        <v>0</v>
      </c>
      <c r="Q247" s="1304">
        <v>0</v>
      </c>
      <c r="R247" s="392" t="str">
        <f t="shared" si="320"/>
        <v/>
      </c>
      <c r="S247" s="392" t="str">
        <f t="shared" si="321"/>
        <v/>
      </c>
      <c r="T247" s="393">
        <f>ROUND(IF(K247="",0,+Q247/1659*(AB247*12*(1+tab!$D$111+tab!$D$112)-tab!$D$110)*tab!$D$108),-1)</f>
        <v>0</v>
      </c>
      <c r="U247" s="1321" t="str">
        <f t="shared" si="322"/>
        <v/>
      </c>
      <c r="V247" s="376"/>
      <c r="W247" s="952"/>
      <c r="AB247" s="1314" t="str">
        <f t="shared" si="317"/>
        <v/>
      </c>
      <c r="AC247" s="1374">
        <f>tab!$D$101</f>
        <v>0.53</v>
      </c>
      <c r="AD247" s="1313" t="e">
        <f t="shared" si="323"/>
        <v>#VALUE!</v>
      </c>
      <c r="AE247" s="1313" t="e">
        <f t="shared" si="324"/>
        <v>#VALUE!</v>
      </c>
      <c r="AF247" s="1313" t="e">
        <f t="shared" si="325"/>
        <v>#VALUE!</v>
      </c>
      <c r="AG247" s="14">
        <f t="shared" si="326"/>
        <v>0</v>
      </c>
      <c r="AH247" s="1315" t="str">
        <f t="shared" si="327"/>
        <v/>
      </c>
      <c r="AI247" s="14">
        <f t="shared" si="328"/>
        <v>0</v>
      </c>
      <c r="AJ247" s="1316">
        <f t="shared" si="329"/>
        <v>0.5</v>
      </c>
      <c r="AK247" s="6">
        <f t="shared" si="330"/>
        <v>0</v>
      </c>
      <c r="AL247" s="1317">
        <f t="shared" si="331"/>
        <v>0</v>
      </c>
    </row>
    <row r="248" spans="3:38" ht="12.75" customHeight="1" x14ac:dyDescent="0.2">
      <c r="C248" s="35"/>
      <c r="D248" s="862" t="str">
        <f t="shared" si="312"/>
        <v/>
      </c>
      <c r="E248" s="862" t="str">
        <f t="shared" si="312"/>
        <v/>
      </c>
      <c r="F248" s="862" t="str">
        <f t="shared" si="312"/>
        <v/>
      </c>
      <c r="G248" s="863" t="str">
        <f t="shared" si="313"/>
        <v/>
      </c>
      <c r="H248" s="864" t="str">
        <f t="shared" si="314"/>
        <v/>
      </c>
      <c r="I248" s="865" t="str">
        <f t="shared" si="314"/>
        <v/>
      </c>
      <c r="J248" s="863" t="str">
        <f t="shared" si="315"/>
        <v/>
      </c>
      <c r="K248" s="866" t="str">
        <f t="shared" si="316"/>
        <v/>
      </c>
      <c r="L248" s="1293"/>
      <c r="M248" s="847">
        <v>0</v>
      </c>
      <c r="N248" s="1521">
        <v>0</v>
      </c>
      <c r="O248" s="1522" t="str">
        <f t="shared" si="318"/>
        <v/>
      </c>
      <c r="P248" s="1305">
        <f t="shared" si="319"/>
        <v>0</v>
      </c>
      <c r="Q248" s="1304">
        <v>0</v>
      </c>
      <c r="R248" s="392" t="str">
        <f t="shared" si="320"/>
        <v/>
      </c>
      <c r="S248" s="392" t="str">
        <f t="shared" si="321"/>
        <v/>
      </c>
      <c r="T248" s="393">
        <f>ROUND(IF(K248="",0,+Q248/1659*(AB248*12*(1+tab!$D$111+tab!$D$112)-tab!$D$110)*tab!$D$108),-1)</f>
        <v>0</v>
      </c>
      <c r="U248" s="1321" t="str">
        <f t="shared" si="322"/>
        <v/>
      </c>
      <c r="V248" s="376"/>
      <c r="W248" s="952"/>
      <c r="AB248" s="1314" t="str">
        <f t="shared" si="317"/>
        <v/>
      </c>
      <c r="AC248" s="1374">
        <f>tab!$D$101</f>
        <v>0.53</v>
      </c>
      <c r="AD248" s="1313" t="e">
        <f t="shared" si="323"/>
        <v>#VALUE!</v>
      </c>
      <c r="AE248" s="1313" t="e">
        <f t="shared" si="324"/>
        <v>#VALUE!</v>
      </c>
      <c r="AF248" s="1313" t="e">
        <f t="shared" si="325"/>
        <v>#VALUE!</v>
      </c>
      <c r="AG248" s="14">
        <f t="shared" si="326"/>
        <v>0</v>
      </c>
      <c r="AH248" s="1315" t="str">
        <f t="shared" si="327"/>
        <v/>
      </c>
      <c r="AI248" s="14">
        <f t="shared" si="328"/>
        <v>0</v>
      </c>
      <c r="AJ248" s="1316">
        <f t="shared" si="329"/>
        <v>0.5</v>
      </c>
      <c r="AK248" s="6">
        <f t="shared" si="330"/>
        <v>0</v>
      </c>
      <c r="AL248" s="1317">
        <f t="shared" si="331"/>
        <v>0</v>
      </c>
    </row>
    <row r="249" spans="3:38" ht="12.75" customHeight="1" x14ac:dyDescent="0.2">
      <c r="C249" s="35"/>
      <c r="D249" s="862" t="str">
        <f t="shared" si="312"/>
        <v/>
      </c>
      <c r="E249" s="862" t="str">
        <f t="shared" si="312"/>
        <v/>
      </c>
      <c r="F249" s="862" t="str">
        <f t="shared" si="312"/>
        <v/>
      </c>
      <c r="G249" s="863" t="str">
        <f t="shared" si="313"/>
        <v/>
      </c>
      <c r="H249" s="864" t="str">
        <f t="shared" si="314"/>
        <v/>
      </c>
      <c r="I249" s="865" t="str">
        <f t="shared" si="314"/>
        <v/>
      </c>
      <c r="J249" s="863" t="str">
        <f t="shared" si="315"/>
        <v/>
      </c>
      <c r="K249" s="866" t="str">
        <f t="shared" si="316"/>
        <v/>
      </c>
      <c r="L249" s="1293"/>
      <c r="M249" s="847">
        <v>0</v>
      </c>
      <c r="N249" s="1521">
        <v>0</v>
      </c>
      <c r="O249" s="1522" t="str">
        <f t="shared" si="318"/>
        <v/>
      </c>
      <c r="P249" s="1305">
        <f t="shared" si="319"/>
        <v>0</v>
      </c>
      <c r="Q249" s="1304">
        <v>0</v>
      </c>
      <c r="R249" s="392" t="str">
        <f t="shared" si="320"/>
        <v/>
      </c>
      <c r="S249" s="392" t="str">
        <f t="shared" si="321"/>
        <v/>
      </c>
      <c r="T249" s="393">
        <f>ROUND(IF(K249="",0,+Q249/1659*(AB249*12*(1+tab!$D$111+tab!$D$112)-tab!$D$110)*tab!$D$108),-1)</f>
        <v>0</v>
      </c>
      <c r="U249" s="1321" t="str">
        <f t="shared" si="322"/>
        <v/>
      </c>
      <c r="V249" s="376"/>
      <c r="W249" s="952"/>
      <c r="AB249" s="1314" t="str">
        <f t="shared" si="317"/>
        <v/>
      </c>
      <c r="AC249" s="1374">
        <f>tab!$D$101</f>
        <v>0.53</v>
      </c>
      <c r="AD249" s="1313" t="e">
        <f t="shared" si="323"/>
        <v>#VALUE!</v>
      </c>
      <c r="AE249" s="1313" t="e">
        <f t="shared" si="324"/>
        <v>#VALUE!</v>
      </c>
      <c r="AF249" s="1313" t="e">
        <f t="shared" si="325"/>
        <v>#VALUE!</v>
      </c>
      <c r="AG249" s="14">
        <f t="shared" si="326"/>
        <v>0</v>
      </c>
      <c r="AH249" s="1315" t="str">
        <f t="shared" si="327"/>
        <v/>
      </c>
      <c r="AI249" s="14">
        <f t="shared" si="328"/>
        <v>0</v>
      </c>
      <c r="AJ249" s="1316">
        <f t="shared" si="329"/>
        <v>0.5</v>
      </c>
      <c r="AK249" s="6">
        <f t="shared" si="330"/>
        <v>0</v>
      </c>
      <c r="AL249" s="1317">
        <f t="shared" si="331"/>
        <v>0</v>
      </c>
    </row>
    <row r="250" spans="3:38" ht="12.75" customHeight="1" x14ac:dyDescent="0.2">
      <c r="C250" s="35"/>
      <c r="D250" s="862" t="str">
        <f t="shared" si="312"/>
        <v/>
      </c>
      <c r="E250" s="862" t="str">
        <f t="shared" si="312"/>
        <v/>
      </c>
      <c r="F250" s="862" t="str">
        <f t="shared" si="312"/>
        <v/>
      </c>
      <c r="G250" s="863" t="str">
        <f t="shared" si="313"/>
        <v/>
      </c>
      <c r="H250" s="864" t="str">
        <f t="shared" si="314"/>
        <v/>
      </c>
      <c r="I250" s="865" t="str">
        <f t="shared" si="314"/>
        <v/>
      </c>
      <c r="J250" s="863" t="str">
        <f t="shared" si="315"/>
        <v/>
      </c>
      <c r="K250" s="866" t="str">
        <f t="shared" si="316"/>
        <v/>
      </c>
      <c r="L250" s="1293"/>
      <c r="M250" s="847">
        <v>0</v>
      </c>
      <c r="N250" s="1521">
        <v>0</v>
      </c>
      <c r="O250" s="1522" t="str">
        <f t="shared" si="318"/>
        <v/>
      </c>
      <c r="P250" s="1305">
        <f t="shared" si="319"/>
        <v>0</v>
      </c>
      <c r="Q250" s="1304">
        <v>0</v>
      </c>
      <c r="R250" s="392" t="str">
        <f t="shared" si="320"/>
        <v/>
      </c>
      <c r="S250" s="392" t="str">
        <f t="shared" si="321"/>
        <v/>
      </c>
      <c r="T250" s="393">
        <f>ROUND(IF(K250="",0,+Q250/1659*(AB250*12*(1+tab!$D$111+tab!$D$112)-tab!$D$110)*tab!$D$108),-1)</f>
        <v>0</v>
      </c>
      <c r="U250" s="1321" t="str">
        <f t="shared" si="322"/>
        <v/>
      </c>
      <c r="V250" s="376"/>
      <c r="W250" s="952"/>
      <c r="AB250" s="1314" t="str">
        <f t="shared" si="317"/>
        <v/>
      </c>
      <c r="AC250" s="1374">
        <f>tab!$D$101</f>
        <v>0.53</v>
      </c>
      <c r="AD250" s="1313" t="e">
        <f t="shared" si="323"/>
        <v>#VALUE!</v>
      </c>
      <c r="AE250" s="1313" t="e">
        <f t="shared" si="324"/>
        <v>#VALUE!</v>
      </c>
      <c r="AF250" s="1313" t="e">
        <f t="shared" si="325"/>
        <v>#VALUE!</v>
      </c>
      <c r="AG250" s="14">
        <f t="shared" si="326"/>
        <v>0</v>
      </c>
      <c r="AH250" s="1315" t="str">
        <f t="shared" si="327"/>
        <v/>
      </c>
      <c r="AI250" s="14">
        <f t="shared" si="328"/>
        <v>0</v>
      </c>
      <c r="AJ250" s="1316">
        <f t="shared" si="329"/>
        <v>0.5</v>
      </c>
      <c r="AK250" s="6">
        <f t="shared" si="330"/>
        <v>0</v>
      </c>
      <c r="AL250" s="1317">
        <f t="shared" si="331"/>
        <v>0</v>
      </c>
    </row>
    <row r="251" spans="3:38" ht="12.75" customHeight="1" x14ac:dyDescent="0.2">
      <c r="C251" s="35"/>
      <c r="D251" s="862" t="str">
        <f t="shared" si="312"/>
        <v/>
      </c>
      <c r="E251" s="862" t="str">
        <f t="shared" si="312"/>
        <v/>
      </c>
      <c r="F251" s="862" t="str">
        <f t="shared" si="312"/>
        <v/>
      </c>
      <c r="G251" s="863" t="str">
        <f t="shared" si="313"/>
        <v/>
      </c>
      <c r="H251" s="864" t="str">
        <f t="shared" si="314"/>
        <v/>
      </c>
      <c r="I251" s="865" t="str">
        <f t="shared" si="314"/>
        <v/>
      </c>
      <c r="J251" s="863" t="str">
        <f t="shared" si="315"/>
        <v/>
      </c>
      <c r="K251" s="866" t="str">
        <f t="shared" si="316"/>
        <v/>
      </c>
      <c r="L251" s="1293"/>
      <c r="M251" s="847">
        <v>0</v>
      </c>
      <c r="N251" s="1521">
        <v>0</v>
      </c>
      <c r="O251" s="1522" t="str">
        <f t="shared" si="318"/>
        <v/>
      </c>
      <c r="P251" s="1305">
        <f t="shared" si="319"/>
        <v>0</v>
      </c>
      <c r="Q251" s="1304">
        <v>0</v>
      </c>
      <c r="R251" s="392" t="str">
        <f t="shared" si="320"/>
        <v/>
      </c>
      <c r="S251" s="392" t="str">
        <f t="shared" si="321"/>
        <v/>
      </c>
      <c r="T251" s="393">
        <f>ROUND(IF(K251="",0,+Q251/1659*(AB251*12*(1+tab!$D$111+tab!$D$112)-tab!$D$110)*tab!$D$108),-1)</f>
        <v>0</v>
      </c>
      <c r="U251" s="1321" t="str">
        <f t="shared" si="322"/>
        <v/>
      </c>
      <c r="V251" s="376"/>
      <c r="W251" s="952"/>
      <c r="AB251" s="1314" t="str">
        <f t="shared" si="317"/>
        <v/>
      </c>
      <c r="AC251" s="1374">
        <f>tab!$D$101</f>
        <v>0.53</v>
      </c>
      <c r="AD251" s="1313" t="e">
        <f t="shared" si="323"/>
        <v>#VALUE!</v>
      </c>
      <c r="AE251" s="1313" t="e">
        <f t="shared" si="324"/>
        <v>#VALUE!</v>
      </c>
      <c r="AF251" s="1313" t="e">
        <f t="shared" si="325"/>
        <v>#VALUE!</v>
      </c>
      <c r="AG251" s="14">
        <f t="shared" si="326"/>
        <v>0</v>
      </c>
      <c r="AH251" s="1315" t="str">
        <f t="shared" si="327"/>
        <v/>
      </c>
      <c r="AI251" s="14">
        <f t="shared" si="328"/>
        <v>0</v>
      </c>
      <c r="AJ251" s="1316">
        <f t="shared" si="329"/>
        <v>0.5</v>
      </c>
      <c r="AK251" s="6">
        <f t="shared" si="330"/>
        <v>0</v>
      </c>
      <c r="AL251" s="1317">
        <f t="shared" si="331"/>
        <v>0</v>
      </c>
    </row>
    <row r="252" spans="3:38" ht="12.75" customHeight="1" x14ac:dyDescent="0.2">
      <c r="C252" s="35"/>
      <c r="D252" s="862" t="str">
        <f t="shared" si="312"/>
        <v/>
      </c>
      <c r="E252" s="862" t="str">
        <f t="shared" si="312"/>
        <v/>
      </c>
      <c r="F252" s="862" t="str">
        <f t="shared" si="312"/>
        <v/>
      </c>
      <c r="G252" s="863" t="str">
        <f t="shared" si="313"/>
        <v/>
      </c>
      <c r="H252" s="864" t="str">
        <f t="shared" si="314"/>
        <v/>
      </c>
      <c r="I252" s="865" t="str">
        <f t="shared" si="314"/>
        <v/>
      </c>
      <c r="J252" s="863" t="str">
        <f t="shared" si="315"/>
        <v/>
      </c>
      <c r="K252" s="866" t="str">
        <f t="shared" si="316"/>
        <v/>
      </c>
      <c r="L252" s="1293"/>
      <c r="M252" s="847">
        <v>0</v>
      </c>
      <c r="N252" s="1521">
        <v>0</v>
      </c>
      <c r="O252" s="1522" t="str">
        <f t="shared" si="318"/>
        <v/>
      </c>
      <c r="P252" s="1305">
        <f t="shared" si="319"/>
        <v>0</v>
      </c>
      <c r="Q252" s="1304">
        <v>0</v>
      </c>
      <c r="R252" s="392" t="str">
        <f t="shared" si="320"/>
        <v/>
      </c>
      <c r="S252" s="392" t="str">
        <f t="shared" si="321"/>
        <v/>
      </c>
      <c r="T252" s="393">
        <f>ROUND(IF(K252="",0,+Q252/1659*(AB252*12*(1+tab!$D$111+tab!$D$112)-tab!$D$110)*tab!$D$108),-1)</f>
        <v>0</v>
      </c>
      <c r="U252" s="1321" t="str">
        <f t="shared" si="322"/>
        <v/>
      </c>
      <c r="V252" s="376"/>
      <c r="W252" s="952"/>
      <c r="AB252" s="1314" t="str">
        <f t="shared" si="317"/>
        <v/>
      </c>
      <c r="AC252" s="1374">
        <f>tab!$D$101</f>
        <v>0.53</v>
      </c>
      <c r="AD252" s="1313" t="e">
        <f t="shared" si="323"/>
        <v>#VALUE!</v>
      </c>
      <c r="AE252" s="1313" t="e">
        <f t="shared" si="324"/>
        <v>#VALUE!</v>
      </c>
      <c r="AF252" s="1313" t="e">
        <f t="shared" si="325"/>
        <v>#VALUE!</v>
      </c>
      <c r="AG252" s="14">
        <f t="shared" si="326"/>
        <v>0</v>
      </c>
      <c r="AH252" s="1315" t="str">
        <f t="shared" si="327"/>
        <v/>
      </c>
      <c r="AI252" s="14">
        <f t="shared" si="328"/>
        <v>0</v>
      </c>
      <c r="AJ252" s="1316">
        <f t="shared" si="329"/>
        <v>0.5</v>
      </c>
      <c r="AK252" s="6">
        <f t="shared" si="330"/>
        <v>0</v>
      </c>
      <c r="AL252" s="1317">
        <f t="shared" si="331"/>
        <v>0</v>
      </c>
    </row>
    <row r="253" spans="3:38" ht="12.75" customHeight="1" x14ac:dyDescent="0.2">
      <c r="C253" s="35"/>
      <c r="D253" s="862" t="str">
        <f t="shared" si="312"/>
        <v/>
      </c>
      <c r="E253" s="862" t="str">
        <f t="shared" si="312"/>
        <v/>
      </c>
      <c r="F253" s="862" t="str">
        <f t="shared" si="312"/>
        <v/>
      </c>
      <c r="G253" s="863" t="str">
        <f t="shared" si="313"/>
        <v/>
      </c>
      <c r="H253" s="864" t="str">
        <f t="shared" si="314"/>
        <v/>
      </c>
      <c r="I253" s="865" t="str">
        <f t="shared" si="314"/>
        <v/>
      </c>
      <c r="J253" s="863" t="str">
        <f t="shared" si="315"/>
        <v/>
      </c>
      <c r="K253" s="866" t="str">
        <f t="shared" si="316"/>
        <v/>
      </c>
      <c r="L253" s="1293"/>
      <c r="M253" s="847">
        <v>0</v>
      </c>
      <c r="N253" s="1521">
        <v>0</v>
      </c>
      <c r="O253" s="1522" t="str">
        <f t="shared" si="318"/>
        <v/>
      </c>
      <c r="P253" s="1305">
        <f t="shared" si="319"/>
        <v>0</v>
      </c>
      <c r="Q253" s="1304">
        <v>0</v>
      </c>
      <c r="R253" s="392" t="str">
        <f t="shared" si="320"/>
        <v/>
      </c>
      <c r="S253" s="392" t="str">
        <f t="shared" si="321"/>
        <v/>
      </c>
      <c r="T253" s="393">
        <f>ROUND(IF(K253="",0,+Q253/1659*(AB253*12*(1+tab!$D$111+tab!$D$112)-tab!$D$110)*tab!$D$108),-1)</f>
        <v>0</v>
      </c>
      <c r="U253" s="1321" t="str">
        <f t="shared" si="322"/>
        <v/>
      </c>
      <c r="V253" s="376"/>
      <c r="W253" s="952"/>
      <c r="AB253" s="1314" t="str">
        <f t="shared" si="317"/>
        <v/>
      </c>
      <c r="AC253" s="1374">
        <f>tab!$D$101</f>
        <v>0.53</v>
      </c>
      <c r="AD253" s="1313" t="e">
        <f t="shared" si="323"/>
        <v>#VALUE!</v>
      </c>
      <c r="AE253" s="1313" t="e">
        <f t="shared" si="324"/>
        <v>#VALUE!</v>
      </c>
      <c r="AF253" s="1313" t="e">
        <f t="shared" si="325"/>
        <v>#VALUE!</v>
      </c>
      <c r="AG253" s="14">
        <f t="shared" si="326"/>
        <v>0</v>
      </c>
      <c r="AH253" s="1315" t="str">
        <f t="shared" si="327"/>
        <v/>
      </c>
      <c r="AI253" s="14">
        <f t="shared" si="328"/>
        <v>0</v>
      </c>
      <c r="AJ253" s="1316">
        <f t="shared" si="329"/>
        <v>0.5</v>
      </c>
      <c r="AK253" s="6">
        <f t="shared" si="330"/>
        <v>0</v>
      </c>
      <c r="AL253" s="1317">
        <f t="shared" si="331"/>
        <v>0</v>
      </c>
    </row>
    <row r="254" spans="3:38" ht="12.75" customHeight="1" x14ac:dyDescent="0.2">
      <c r="C254" s="35"/>
      <c r="D254" s="862" t="str">
        <f t="shared" si="312"/>
        <v/>
      </c>
      <c r="E254" s="862" t="str">
        <f t="shared" si="312"/>
        <v/>
      </c>
      <c r="F254" s="862" t="str">
        <f t="shared" si="312"/>
        <v/>
      </c>
      <c r="G254" s="863" t="str">
        <f t="shared" si="313"/>
        <v/>
      </c>
      <c r="H254" s="864" t="str">
        <f t="shared" si="314"/>
        <v/>
      </c>
      <c r="I254" s="865" t="str">
        <f t="shared" si="314"/>
        <v/>
      </c>
      <c r="J254" s="863" t="str">
        <f t="shared" si="315"/>
        <v/>
      </c>
      <c r="K254" s="866" t="str">
        <f t="shared" si="316"/>
        <v/>
      </c>
      <c r="L254" s="1293"/>
      <c r="M254" s="847">
        <v>0</v>
      </c>
      <c r="N254" s="1521">
        <v>0</v>
      </c>
      <c r="O254" s="1522" t="str">
        <f t="shared" si="318"/>
        <v/>
      </c>
      <c r="P254" s="1305">
        <f t="shared" si="319"/>
        <v>0</v>
      </c>
      <c r="Q254" s="1304">
        <v>0</v>
      </c>
      <c r="R254" s="392" t="str">
        <f t="shared" si="320"/>
        <v/>
      </c>
      <c r="S254" s="392" t="str">
        <f t="shared" si="321"/>
        <v/>
      </c>
      <c r="T254" s="393">
        <f>ROUND(IF(K254="",0,+Q254/1659*(AB254*12*(1+tab!$D$111+tab!$D$112)-tab!$D$110)*tab!$D$108),-1)</f>
        <v>0</v>
      </c>
      <c r="U254" s="1321" t="str">
        <f t="shared" si="322"/>
        <v/>
      </c>
      <c r="V254" s="376"/>
      <c r="W254" s="952"/>
      <c r="AB254" s="1314" t="str">
        <f t="shared" si="317"/>
        <v/>
      </c>
      <c r="AC254" s="1374">
        <f>tab!$D$101</f>
        <v>0.53</v>
      </c>
      <c r="AD254" s="1313" t="e">
        <f t="shared" si="323"/>
        <v>#VALUE!</v>
      </c>
      <c r="AE254" s="1313" t="e">
        <f t="shared" si="324"/>
        <v>#VALUE!</v>
      </c>
      <c r="AF254" s="1313" t="e">
        <f t="shared" si="325"/>
        <v>#VALUE!</v>
      </c>
      <c r="AG254" s="14">
        <f t="shared" si="326"/>
        <v>0</v>
      </c>
      <c r="AH254" s="1315" t="str">
        <f t="shared" si="327"/>
        <v/>
      </c>
      <c r="AI254" s="14">
        <f t="shared" si="328"/>
        <v>0</v>
      </c>
      <c r="AJ254" s="1316">
        <f t="shared" si="329"/>
        <v>0.5</v>
      </c>
      <c r="AK254" s="6">
        <f t="shared" si="330"/>
        <v>0</v>
      </c>
      <c r="AL254" s="1317">
        <f t="shared" si="331"/>
        <v>0</v>
      </c>
    </row>
    <row r="255" spans="3:38" ht="12.75" customHeight="1" x14ac:dyDescent="0.2">
      <c r="C255" s="35"/>
      <c r="D255" s="862" t="str">
        <f t="shared" si="312"/>
        <v/>
      </c>
      <c r="E255" s="862" t="str">
        <f t="shared" si="312"/>
        <v/>
      </c>
      <c r="F255" s="862" t="str">
        <f t="shared" si="312"/>
        <v/>
      </c>
      <c r="G255" s="863" t="str">
        <f t="shared" si="313"/>
        <v/>
      </c>
      <c r="H255" s="864" t="str">
        <f t="shared" si="314"/>
        <v/>
      </c>
      <c r="I255" s="865" t="str">
        <f t="shared" si="314"/>
        <v/>
      </c>
      <c r="J255" s="863" t="str">
        <f t="shared" si="315"/>
        <v/>
      </c>
      <c r="K255" s="866" t="str">
        <f t="shared" si="316"/>
        <v/>
      </c>
      <c r="L255" s="1293"/>
      <c r="M255" s="847">
        <v>0</v>
      </c>
      <c r="N255" s="1521">
        <v>0</v>
      </c>
      <c r="O255" s="1522" t="str">
        <f t="shared" si="318"/>
        <v/>
      </c>
      <c r="P255" s="1305">
        <f t="shared" si="319"/>
        <v>0</v>
      </c>
      <c r="Q255" s="1304">
        <v>0</v>
      </c>
      <c r="R255" s="392" t="str">
        <f t="shared" si="320"/>
        <v/>
      </c>
      <c r="S255" s="392" t="str">
        <f t="shared" si="321"/>
        <v/>
      </c>
      <c r="T255" s="393">
        <f>ROUND(IF(K255="",0,+Q255/1659*(AB255*12*(1+tab!$D$111+tab!$D$112)-tab!$D$110)*tab!$D$108),-1)</f>
        <v>0</v>
      </c>
      <c r="U255" s="1321" t="str">
        <f t="shared" si="322"/>
        <v/>
      </c>
      <c r="V255" s="376"/>
      <c r="W255" s="952"/>
      <c r="AB255" s="1314" t="str">
        <f t="shared" si="317"/>
        <v/>
      </c>
      <c r="AC255" s="1374">
        <f>tab!$D$101</f>
        <v>0.53</v>
      </c>
      <c r="AD255" s="1313" t="e">
        <f t="shared" si="323"/>
        <v>#VALUE!</v>
      </c>
      <c r="AE255" s="1313" t="e">
        <f t="shared" si="324"/>
        <v>#VALUE!</v>
      </c>
      <c r="AF255" s="1313" t="e">
        <f t="shared" si="325"/>
        <v>#VALUE!</v>
      </c>
      <c r="AG255" s="14">
        <f t="shared" si="326"/>
        <v>0</v>
      </c>
      <c r="AH255" s="1315" t="str">
        <f t="shared" si="327"/>
        <v/>
      </c>
      <c r="AI255" s="14">
        <f t="shared" si="328"/>
        <v>0</v>
      </c>
      <c r="AJ255" s="1316">
        <f t="shared" si="329"/>
        <v>0.5</v>
      </c>
      <c r="AK255" s="6">
        <f t="shared" si="330"/>
        <v>0</v>
      </c>
      <c r="AL255" s="1317">
        <f t="shared" si="331"/>
        <v>0</v>
      </c>
    </row>
    <row r="256" spans="3:38" ht="12.75" customHeight="1" x14ac:dyDescent="0.2">
      <c r="C256" s="35"/>
      <c r="D256" s="862" t="str">
        <f t="shared" si="312"/>
        <v/>
      </c>
      <c r="E256" s="862" t="str">
        <f t="shared" si="312"/>
        <v/>
      </c>
      <c r="F256" s="862" t="str">
        <f t="shared" si="312"/>
        <v/>
      </c>
      <c r="G256" s="863" t="str">
        <f t="shared" si="313"/>
        <v/>
      </c>
      <c r="H256" s="864" t="str">
        <f t="shared" si="314"/>
        <v/>
      </c>
      <c r="I256" s="865" t="str">
        <f t="shared" si="314"/>
        <v/>
      </c>
      <c r="J256" s="863" t="str">
        <f t="shared" si="315"/>
        <v/>
      </c>
      <c r="K256" s="866" t="str">
        <f t="shared" si="316"/>
        <v/>
      </c>
      <c r="L256" s="1293"/>
      <c r="M256" s="847">
        <v>0</v>
      </c>
      <c r="N256" s="1521">
        <v>0</v>
      </c>
      <c r="O256" s="1522" t="str">
        <f t="shared" si="318"/>
        <v/>
      </c>
      <c r="P256" s="1305">
        <f t="shared" si="319"/>
        <v>0</v>
      </c>
      <c r="Q256" s="1304">
        <v>0</v>
      </c>
      <c r="R256" s="392" t="str">
        <f t="shared" si="320"/>
        <v/>
      </c>
      <c r="S256" s="392" t="str">
        <f t="shared" si="321"/>
        <v/>
      </c>
      <c r="T256" s="393">
        <f>ROUND(IF(K256="",0,+Q256/1659*(AB256*12*(1+tab!$D$111+tab!$D$112)-tab!$D$110)*tab!$D$108),-1)</f>
        <v>0</v>
      </c>
      <c r="U256" s="1321" t="str">
        <f t="shared" si="322"/>
        <v/>
      </c>
      <c r="V256" s="376"/>
      <c r="W256" s="952"/>
      <c r="AB256" s="1314" t="str">
        <f t="shared" si="317"/>
        <v/>
      </c>
      <c r="AC256" s="1374">
        <f>tab!$D$101</f>
        <v>0.53</v>
      </c>
      <c r="AD256" s="1313" t="e">
        <f t="shared" si="323"/>
        <v>#VALUE!</v>
      </c>
      <c r="AE256" s="1313" t="e">
        <f t="shared" si="324"/>
        <v>#VALUE!</v>
      </c>
      <c r="AF256" s="1313" t="e">
        <f t="shared" si="325"/>
        <v>#VALUE!</v>
      </c>
      <c r="AG256" s="14">
        <f t="shared" si="326"/>
        <v>0</v>
      </c>
      <c r="AH256" s="1315" t="str">
        <f t="shared" si="327"/>
        <v/>
      </c>
      <c r="AI256" s="14">
        <f t="shared" si="328"/>
        <v>0</v>
      </c>
      <c r="AJ256" s="1316">
        <f t="shared" si="329"/>
        <v>0.5</v>
      </c>
      <c r="AK256" s="6">
        <f t="shared" si="330"/>
        <v>0</v>
      </c>
      <c r="AL256" s="1317">
        <f t="shared" si="331"/>
        <v>0</v>
      </c>
    </row>
    <row r="257" spans="3:46" ht="12.75" customHeight="1" x14ac:dyDescent="0.2">
      <c r="C257" s="35"/>
      <c r="D257" s="862" t="str">
        <f t="shared" si="312"/>
        <v/>
      </c>
      <c r="E257" s="862" t="str">
        <f t="shared" si="312"/>
        <v/>
      </c>
      <c r="F257" s="862" t="str">
        <f t="shared" si="312"/>
        <v/>
      </c>
      <c r="G257" s="863" t="str">
        <f t="shared" si="313"/>
        <v/>
      </c>
      <c r="H257" s="864" t="str">
        <f t="shared" si="314"/>
        <v/>
      </c>
      <c r="I257" s="865" t="str">
        <f t="shared" si="314"/>
        <v/>
      </c>
      <c r="J257" s="863" t="str">
        <f t="shared" si="315"/>
        <v/>
      </c>
      <c r="K257" s="866" t="str">
        <f t="shared" si="316"/>
        <v/>
      </c>
      <c r="L257" s="1293"/>
      <c r="M257" s="847">
        <v>0</v>
      </c>
      <c r="N257" s="1521">
        <v>0</v>
      </c>
      <c r="O257" s="1522" t="str">
        <f t="shared" si="318"/>
        <v/>
      </c>
      <c r="P257" s="1305">
        <f t="shared" si="319"/>
        <v>0</v>
      </c>
      <c r="Q257" s="1304">
        <v>0</v>
      </c>
      <c r="R257" s="392" t="str">
        <f t="shared" si="320"/>
        <v/>
      </c>
      <c r="S257" s="392" t="str">
        <f t="shared" si="321"/>
        <v/>
      </c>
      <c r="T257" s="393">
        <f>ROUND(IF(K257="",0,+Q257/1659*(AB257*12*(1+tab!$D$111+tab!$D$112)-tab!$D$110)*tab!$D$108),-1)</f>
        <v>0</v>
      </c>
      <c r="U257" s="1321" t="str">
        <f t="shared" si="322"/>
        <v/>
      </c>
      <c r="V257" s="376"/>
      <c r="W257" s="952"/>
      <c r="AB257" s="1314" t="str">
        <f t="shared" si="317"/>
        <v/>
      </c>
      <c r="AC257" s="1374">
        <f>tab!$D$101</f>
        <v>0.53</v>
      </c>
      <c r="AD257" s="1313" t="e">
        <f t="shared" si="323"/>
        <v>#VALUE!</v>
      </c>
      <c r="AE257" s="1313" t="e">
        <f t="shared" si="324"/>
        <v>#VALUE!</v>
      </c>
      <c r="AF257" s="1313" t="e">
        <f t="shared" si="325"/>
        <v>#VALUE!</v>
      </c>
      <c r="AG257" s="14">
        <f t="shared" si="326"/>
        <v>0</v>
      </c>
      <c r="AH257" s="1315" t="str">
        <f t="shared" si="327"/>
        <v/>
      </c>
      <c r="AI257" s="14">
        <f t="shared" si="328"/>
        <v>0</v>
      </c>
      <c r="AJ257" s="1316">
        <f t="shared" si="329"/>
        <v>0.5</v>
      </c>
      <c r="AK257" s="6">
        <f t="shared" si="330"/>
        <v>0</v>
      </c>
      <c r="AL257" s="1317">
        <f t="shared" si="331"/>
        <v>0</v>
      </c>
    </row>
    <row r="258" spans="3:46" ht="12.75" customHeight="1" x14ac:dyDescent="0.2">
      <c r="C258" s="35"/>
      <c r="D258" s="862" t="str">
        <f t="shared" si="312"/>
        <v/>
      </c>
      <c r="E258" s="862" t="str">
        <f t="shared" si="312"/>
        <v/>
      </c>
      <c r="F258" s="862" t="str">
        <f t="shared" si="312"/>
        <v/>
      </c>
      <c r="G258" s="863" t="str">
        <f t="shared" si="313"/>
        <v/>
      </c>
      <c r="H258" s="864" t="str">
        <f t="shared" si="314"/>
        <v/>
      </c>
      <c r="I258" s="865" t="str">
        <f t="shared" si="314"/>
        <v/>
      </c>
      <c r="J258" s="863" t="str">
        <f t="shared" si="315"/>
        <v/>
      </c>
      <c r="K258" s="866" t="str">
        <f t="shared" si="316"/>
        <v/>
      </c>
      <c r="L258" s="1293"/>
      <c r="M258" s="847">
        <v>0</v>
      </c>
      <c r="N258" s="1521">
        <v>0</v>
      </c>
      <c r="O258" s="1522" t="str">
        <f t="shared" si="318"/>
        <v/>
      </c>
      <c r="P258" s="1305">
        <f t="shared" si="319"/>
        <v>0</v>
      </c>
      <c r="Q258" s="1304">
        <v>0</v>
      </c>
      <c r="R258" s="392" t="str">
        <f t="shared" si="320"/>
        <v/>
      </c>
      <c r="S258" s="392" t="str">
        <f t="shared" si="321"/>
        <v/>
      </c>
      <c r="T258" s="393">
        <f>ROUND(IF(K258="",0,+Q258/1659*(AB258*12*(1+tab!$D$111+tab!$D$112)-tab!$D$110)*tab!$D$108),-1)</f>
        <v>0</v>
      </c>
      <c r="U258" s="1321" t="str">
        <f t="shared" si="322"/>
        <v/>
      </c>
      <c r="V258" s="376"/>
      <c r="W258" s="952"/>
      <c r="AB258" s="1314" t="str">
        <f t="shared" si="317"/>
        <v/>
      </c>
      <c r="AC258" s="1374">
        <f>tab!$D$101</f>
        <v>0.53</v>
      </c>
      <c r="AD258" s="1313" t="e">
        <f t="shared" si="323"/>
        <v>#VALUE!</v>
      </c>
      <c r="AE258" s="1313" t="e">
        <f t="shared" si="324"/>
        <v>#VALUE!</v>
      </c>
      <c r="AF258" s="1313" t="e">
        <f t="shared" si="325"/>
        <v>#VALUE!</v>
      </c>
      <c r="AG258" s="14">
        <f t="shared" si="326"/>
        <v>0</v>
      </c>
      <c r="AH258" s="1315" t="str">
        <f t="shared" si="327"/>
        <v/>
      </c>
      <c r="AI258" s="14">
        <f t="shared" si="328"/>
        <v>0</v>
      </c>
      <c r="AJ258" s="1316">
        <f t="shared" si="329"/>
        <v>0.5</v>
      </c>
      <c r="AK258" s="6">
        <f t="shared" si="330"/>
        <v>0</v>
      </c>
      <c r="AL258" s="1317">
        <f t="shared" si="331"/>
        <v>0</v>
      </c>
    </row>
    <row r="259" spans="3:46" x14ac:dyDescent="0.2">
      <c r="C259" s="35"/>
      <c r="D259" s="377"/>
      <c r="E259" s="377"/>
      <c r="F259" s="377"/>
      <c r="G259" s="192"/>
      <c r="H259" s="378"/>
      <c r="I259" s="192"/>
      <c r="J259" s="379"/>
      <c r="K259" s="394">
        <f>SUM(K239:K258)</f>
        <v>0</v>
      </c>
      <c r="L259" s="1284"/>
      <c r="M259" s="1303">
        <f>SUM(M239:M258)</f>
        <v>0</v>
      </c>
      <c r="N259" s="1303">
        <f t="shared" ref="N259" si="332">SUM(N239:N258)</f>
        <v>0</v>
      </c>
      <c r="O259" s="1303">
        <f t="shared" ref="O259" si="333">SUM(O239:O258)</f>
        <v>0</v>
      </c>
      <c r="P259" s="1303">
        <f t="shared" ref="P259" si="334">SUM(P239:P258)</f>
        <v>0</v>
      </c>
      <c r="Q259" s="1303">
        <f t="shared" ref="Q259" si="335">SUM(Q239:Q258)</f>
        <v>0</v>
      </c>
      <c r="R259" s="1319">
        <f t="shared" ref="R259" si="336">SUM(R239:R258)</f>
        <v>0</v>
      </c>
      <c r="S259" s="1319">
        <f t="shared" ref="S259" si="337">SUM(S239:S258)</f>
        <v>0</v>
      </c>
      <c r="T259" s="1319">
        <f t="shared" ref="T259" si="338">SUM(T239:T258)</f>
        <v>0</v>
      </c>
      <c r="U259" s="1320">
        <f t="shared" ref="U259" si="339">SUM(U239:U258)</f>
        <v>0</v>
      </c>
      <c r="V259" s="361"/>
      <c r="W259" s="952"/>
      <c r="AB259" s="1314">
        <f>SUM(AB239:AB258)</f>
        <v>0</v>
      </c>
      <c r="AL259" s="1317">
        <f>SUM(AL239:AL258)</f>
        <v>0</v>
      </c>
    </row>
    <row r="260" spans="3:46" x14ac:dyDescent="0.2">
      <c r="C260" s="35"/>
      <c r="D260" s="187"/>
      <c r="E260" s="187"/>
      <c r="F260" s="187"/>
      <c r="G260" s="186"/>
      <c r="H260" s="193"/>
      <c r="I260" s="186"/>
      <c r="J260" s="361"/>
      <c r="K260" s="362"/>
      <c r="L260" s="1290"/>
      <c r="M260" s="362"/>
      <c r="N260" s="361"/>
      <c r="O260" s="361"/>
      <c r="P260" s="380"/>
      <c r="Q260" s="380"/>
      <c r="R260" s="380"/>
      <c r="S260" s="380"/>
      <c r="T260" s="365"/>
      <c r="U260" s="381"/>
      <c r="V260" s="361"/>
      <c r="W260" s="952"/>
    </row>
    <row r="261" spans="3:46" x14ac:dyDescent="0.2">
      <c r="W261" s="952"/>
    </row>
    <row r="262" spans="3:46" s="7" customFormat="1" x14ac:dyDescent="0.2">
      <c r="D262" s="276"/>
      <c r="E262" s="276"/>
      <c r="F262" s="276"/>
      <c r="G262" s="277"/>
      <c r="H262" s="278"/>
      <c r="I262" s="279"/>
      <c r="J262" s="279"/>
      <c r="K262" s="281"/>
      <c r="L262" s="1295"/>
      <c r="M262" s="286"/>
      <c r="O262" s="287"/>
      <c r="T262" s="229"/>
      <c r="U262" s="288"/>
      <c r="W262" s="1377"/>
      <c r="AC262" s="277"/>
      <c r="AD262" s="285"/>
      <c r="AL262" s="277"/>
      <c r="AM262" s="285"/>
      <c r="AT262" s="6"/>
    </row>
    <row r="263" spans="3:46" x14ac:dyDescent="0.2">
      <c r="C263" s="6" t="s">
        <v>145</v>
      </c>
      <c r="E263" s="256" t="str">
        <f>tab!L2</f>
        <v>2022/23</v>
      </c>
      <c r="W263" s="952"/>
    </row>
    <row r="264" spans="3:46" x14ac:dyDescent="0.2">
      <c r="C264" s="6" t="s">
        <v>146</v>
      </c>
      <c r="E264" s="256">
        <f>+tab!M3</f>
        <v>44835</v>
      </c>
      <c r="W264" s="952"/>
    </row>
    <row r="265" spans="3:46" s="7" customFormat="1" x14ac:dyDescent="0.2">
      <c r="D265" s="276"/>
      <c r="E265" s="276"/>
      <c r="F265" s="276"/>
      <c r="G265" s="277"/>
      <c r="H265" s="278"/>
      <c r="I265" s="279"/>
      <c r="J265" s="279"/>
      <c r="K265" s="281"/>
      <c r="L265" s="1295"/>
      <c r="M265" s="286"/>
      <c r="O265" s="287"/>
      <c r="T265" s="229"/>
      <c r="U265" s="288"/>
      <c r="W265" s="1377"/>
      <c r="AC265" s="277"/>
      <c r="AD265" s="285"/>
      <c r="AL265" s="277"/>
      <c r="AM265" s="285"/>
      <c r="AT265" s="6"/>
    </row>
    <row r="266" spans="3:46" ht="12.75" customHeight="1" x14ac:dyDescent="0.2">
      <c r="C266" s="35"/>
      <c r="D266" s="187"/>
      <c r="E266" s="93"/>
      <c r="F266" s="187"/>
      <c r="G266" s="186"/>
      <c r="H266" s="193"/>
      <c r="I266" s="361"/>
      <c r="J266" s="361"/>
      <c r="K266" s="362"/>
      <c r="L266" s="1290"/>
      <c r="M266" s="363"/>
      <c r="N266" s="35"/>
      <c r="O266" s="364"/>
      <c r="P266" s="35"/>
      <c r="Q266" s="35"/>
      <c r="R266" s="35"/>
      <c r="S266" s="35"/>
      <c r="T266" s="365"/>
      <c r="U266" s="366"/>
      <c r="V266" s="35"/>
      <c r="W266" s="952"/>
      <c r="X266" s="952"/>
      <c r="AC266" s="1306"/>
      <c r="AD266" s="1307"/>
      <c r="AE266" s="1306"/>
      <c r="AF266" s="1306"/>
      <c r="AG266" s="1306"/>
      <c r="AH266" s="1308"/>
      <c r="AI266" s="1309"/>
      <c r="AJ266" s="1310"/>
      <c r="AK266" s="1311"/>
      <c r="AL266" s="1312"/>
      <c r="AM266" s="259"/>
      <c r="AT266" s="7"/>
    </row>
    <row r="267" spans="3:46" s="399" customFormat="1" ht="12.75" customHeight="1" x14ac:dyDescent="0.2">
      <c r="C267" s="1281"/>
      <c r="D267" s="1275" t="s">
        <v>147</v>
      </c>
      <c r="E267" s="1276"/>
      <c r="F267" s="1276"/>
      <c r="G267" s="1276"/>
      <c r="H267" s="1276"/>
      <c r="I267" s="1276"/>
      <c r="J267" s="1276"/>
      <c r="K267" s="1276"/>
      <c r="L267" s="1296"/>
      <c r="M267" s="1327" t="s">
        <v>817</v>
      </c>
      <c r="N267" s="1328"/>
      <c r="O267" s="1329"/>
      <c r="P267" s="1329"/>
      <c r="Q267" s="1328"/>
      <c r="R267" s="1330" t="s">
        <v>818</v>
      </c>
      <c r="S267" s="1331"/>
      <c r="T267" s="1331"/>
      <c r="U267" s="1331"/>
      <c r="V267" s="1332"/>
      <c r="W267" s="1375"/>
      <c r="X267" s="1334"/>
      <c r="Y267" s="1335"/>
      <c r="Z267" s="1336"/>
      <c r="AA267" s="1336"/>
      <c r="AB267" s="1337"/>
      <c r="AC267" s="1338"/>
      <c r="AD267" s="1339"/>
      <c r="AE267" s="1338"/>
      <c r="AF267" s="1340"/>
      <c r="AG267" s="1340"/>
      <c r="AH267" s="1341"/>
      <c r="AI267" s="1342"/>
      <c r="AJ267" s="1341"/>
      <c r="AK267" s="1343"/>
      <c r="AL267" s="1343"/>
      <c r="AN267" s="268"/>
      <c r="AO267" s="268"/>
    </row>
    <row r="268" spans="3:46" ht="12.75" customHeight="1" x14ac:dyDescent="0.2">
      <c r="C268" s="367"/>
      <c r="D268" s="383" t="s">
        <v>148</v>
      </c>
      <c r="E268" s="383" t="s">
        <v>149</v>
      </c>
      <c r="F268" s="383" t="s">
        <v>150</v>
      </c>
      <c r="G268" s="384" t="s">
        <v>151</v>
      </c>
      <c r="H268" s="385" t="s">
        <v>152</v>
      </c>
      <c r="I268" s="384" t="s">
        <v>115</v>
      </c>
      <c r="J268" s="384" t="s">
        <v>153</v>
      </c>
      <c r="K268" s="386" t="s">
        <v>154</v>
      </c>
      <c r="L268" s="1291"/>
      <c r="M268" s="1354" t="s">
        <v>819</v>
      </c>
      <c r="N268" s="1355" t="s">
        <v>820</v>
      </c>
      <c r="O268" s="1356" t="s">
        <v>821</v>
      </c>
      <c r="P268" s="1357" t="s">
        <v>822</v>
      </c>
      <c r="Q268" s="1355" t="s">
        <v>823</v>
      </c>
      <c r="R268" s="1356" t="s">
        <v>155</v>
      </c>
      <c r="S268" s="1354" t="s">
        <v>824</v>
      </c>
      <c r="T268" s="1354" t="s">
        <v>825</v>
      </c>
      <c r="U268" s="1354" t="s">
        <v>155</v>
      </c>
      <c r="V268" s="1358"/>
      <c r="W268" s="1376"/>
      <c r="X268" s="1360"/>
      <c r="Y268" s="1361"/>
      <c r="Z268" s="1362"/>
      <c r="AA268" s="1362"/>
      <c r="AB268" s="1371" t="s">
        <v>290</v>
      </c>
      <c r="AC268" s="1372" t="s">
        <v>826</v>
      </c>
      <c r="AD268" s="1373" t="s">
        <v>827</v>
      </c>
      <c r="AE268" s="1373" t="s">
        <v>827</v>
      </c>
      <c r="AF268" s="1373" t="s">
        <v>828</v>
      </c>
      <c r="AG268" s="1373" t="s">
        <v>823</v>
      </c>
      <c r="AH268" s="1373" t="s">
        <v>829</v>
      </c>
      <c r="AI268" s="1373" t="s">
        <v>830</v>
      </c>
      <c r="AJ268" s="1373" t="s">
        <v>831</v>
      </c>
      <c r="AK268" s="1373" t="s">
        <v>157</v>
      </c>
      <c r="AL268" s="1165" t="s">
        <v>303</v>
      </c>
      <c r="AM268" s="6"/>
      <c r="AN268" s="268"/>
      <c r="AO268" s="267"/>
    </row>
    <row r="269" spans="3:46" ht="12.75" customHeight="1" x14ac:dyDescent="0.2">
      <c r="C269" s="367"/>
      <c r="D269" s="388"/>
      <c r="E269" s="383"/>
      <c r="F269" s="389"/>
      <c r="G269" s="384" t="s">
        <v>159</v>
      </c>
      <c r="H269" s="385" t="s">
        <v>160</v>
      </c>
      <c r="I269" s="384"/>
      <c r="J269" s="384"/>
      <c r="K269" s="386"/>
      <c r="L269" s="1291"/>
      <c r="M269" s="1367" t="s">
        <v>832</v>
      </c>
      <c r="N269" s="1355" t="s">
        <v>833</v>
      </c>
      <c r="O269" s="1356" t="s">
        <v>834</v>
      </c>
      <c r="P269" s="1357" t="s">
        <v>95</v>
      </c>
      <c r="Q269" s="1355" t="s">
        <v>835</v>
      </c>
      <c r="R269" s="1356" t="s">
        <v>836</v>
      </c>
      <c r="S269" s="1368" t="s">
        <v>837</v>
      </c>
      <c r="T269" s="1368" t="s">
        <v>838</v>
      </c>
      <c r="U269" s="1354" t="s">
        <v>95</v>
      </c>
      <c r="V269" s="1358"/>
      <c r="W269" s="1376"/>
      <c r="X269" s="1360"/>
      <c r="Y269" s="1369"/>
      <c r="Z269" s="1362"/>
      <c r="AA269" s="1362"/>
      <c r="AB269" s="1373" t="s">
        <v>839</v>
      </c>
      <c r="AC269" s="1374">
        <f>tab!$D$101</f>
        <v>0.53</v>
      </c>
      <c r="AD269" s="1373" t="s">
        <v>840</v>
      </c>
      <c r="AE269" s="1373" t="s">
        <v>841</v>
      </c>
      <c r="AF269" s="1373" t="s">
        <v>842</v>
      </c>
      <c r="AG269" s="1373" t="s">
        <v>835</v>
      </c>
      <c r="AH269" s="1373" t="s">
        <v>843</v>
      </c>
      <c r="AI269" s="1373" t="s">
        <v>843</v>
      </c>
      <c r="AJ269" s="1373" t="s">
        <v>844</v>
      </c>
      <c r="AK269" s="1373"/>
      <c r="AL269" s="1373" t="s">
        <v>156</v>
      </c>
      <c r="AM269" s="6"/>
      <c r="AO269" s="269"/>
    </row>
    <row r="270" spans="3:46" ht="12.75" customHeight="1" x14ac:dyDescent="0.2">
      <c r="C270" s="35"/>
      <c r="D270" s="187"/>
      <c r="E270" s="187"/>
      <c r="F270" s="187"/>
      <c r="G270" s="186"/>
      <c r="H270" s="193"/>
      <c r="I270" s="368"/>
      <c r="J270" s="368"/>
      <c r="K270" s="369"/>
      <c r="L270" s="1292"/>
      <c r="M270" s="369"/>
      <c r="N270" s="370"/>
      <c r="O270" s="371"/>
      <c r="P270" s="372"/>
      <c r="Q270" s="372"/>
      <c r="R270" s="372"/>
      <c r="S270" s="372"/>
      <c r="T270" s="373"/>
      <c r="U270" s="374"/>
      <c r="V270" s="370"/>
      <c r="W270" s="952"/>
      <c r="AC270" s="6"/>
      <c r="AD270" s="6"/>
      <c r="AL270" s="6"/>
      <c r="AM270" s="6"/>
      <c r="AO270" s="269"/>
    </row>
    <row r="271" spans="3:46" ht="12.75" customHeight="1" x14ac:dyDescent="0.2">
      <c r="C271" s="35"/>
      <c r="D271" s="862" t="str">
        <f t="shared" ref="D271:F290" si="340">IF(D239=0,"",D239)</f>
        <v/>
      </c>
      <c r="E271" s="862" t="str">
        <f t="shared" si="340"/>
        <v/>
      </c>
      <c r="F271" s="862" t="str">
        <f t="shared" si="340"/>
        <v/>
      </c>
      <c r="G271" s="863" t="str">
        <f t="shared" ref="G271:G290" si="341">IF(G239="","",G239+1)</f>
        <v/>
      </c>
      <c r="H271" s="864" t="str">
        <f t="shared" ref="H271:I290" si="342">IF(H239=0,"",H239)</f>
        <v/>
      </c>
      <c r="I271" s="865" t="str">
        <f t="shared" si="342"/>
        <v/>
      </c>
      <c r="J271" s="863" t="str">
        <f t="shared" ref="J271:J290" si="343">IF(E271="","",IF(J239&lt;VLOOKUP(I271,tabelsalaris2015VO,19,FALSE),J239+1,J239))</f>
        <v/>
      </c>
      <c r="K271" s="866" t="str">
        <f t="shared" ref="K271:K290" si="344">IF(K239="","",K239)</f>
        <v/>
      </c>
      <c r="L271" s="1293"/>
      <c r="M271" s="847">
        <v>0</v>
      </c>
      <c r="N271" s="1521">
        <v>0</v>
      </c>
      <c r="O271" s="1522" t="str">
        <f>IF(K271="","",K271*50)</f>
        <v/>
      </c>
      <c r="P271" s="1305">
        <f>SUM(M271:O271)</f>
        <v>0</v>
      </c>
      <c r="Q271" s="1304">
        <v>0</v>
      </c>
      <c r="R271" s="392" t="str">
        <f>IF(K271="","",(1659*K271-P271)*AE271)</f>
        <v/>
      </c>
      <c r="S271" s="392" t="str">
        <f>IF(K271="","",P271*AF271+AD271*(AH271+AI271*(1-AJ271)))</f>
        <v/>
      </c>
      <c r="T271" s="393">
        <f>ROUND(IF(K271="",0,+Q271/1659*(AB271*12*(1+tab!$D$111+tab!$D$112)-tab!$D$110)*tab!$D$108),-1)</f>
        <v>0</v>
      </c>
      <c r="U271" s="1321" t="str">
        <f>IF(K271="","",IF(E271=0,0,(R271+S271+T271)))</f>
        <v/>
      </c>
      <c r="V271" s="376"/>
      <c r="W271" s="952"/>
      <c r="AB271" s="1314" t="str">
        <f t="shared" ref="AB271:AB290" si="345">IF(I271="","",VLOOKUP(I271,tabelsalaris2016VO,J271+2,FALSE)*5/12+VLOOKUP(I271,tabelsalaris2016VO,J271+2,FALSE)*7/12)</f>
        <v/>
      </c>
      <c r="AC271" s="1374">
        <f>tab!$D$101</f>
        <v>0.53</v>
      </c>
      <c r="AD271" s="1313" t="e">
        <f>AB271*12/1659</f>
        <v>#VALUE!</v>
      </c>
      <c r="AE271" s="1313" t="e">
        <f>AB271*12*(1+AC271)/1659</f>
        <v>#VALUE!</v>
      </c>
      <c r="AF271" s="1313" t="e">
        <f>+AE271-AD271</f>
        <v>#VALUE!</v>
      </c>
      <c r="AG271" s="14">
        <f>Q271</f>
        <v>0</v>
      </c>
      <c r="AH271" s="1315" t="str">
        <f>O271</f>
        <v/>
      </c>
      <c r="AI271" s="14">
        <f>(M271+N271)</f>
        <v>0</v>
      </c>
      <c r="AJ271" s="1316">
        <f>IF(I271&gt;8,50%,40%)</f>
        <v>0.5</v>
      </c>
      <c r="AK271" s="6">
        <f>IF(G271&lt;25,0,IF(G271=25,25,IF(G271&lt;40,0,IF(G271=40,40,IF(G271&gt;=40,0)))))</f>
        <v>0</v>
      </c>
      <c r="AL271" s="1317">
        <f>IF(AK271=25,AB271*1.08*K271/2,IF(AK271=40,AB271*1.08*K271,0))</f>
        <v>0</v>
      </c>
    </row>
    <row r="272" spans="3:46" ht="12.75" customHeight="1" x14ac:dyDescent="0.2">
      <c r="C272" s="35"/>
      <c r="D272" s="862" t="str">
        <f t="shared" si="340"/>
        <v/>
      </c>
      <c r="E272" s="862" t="str">
        <f t="shared" si="340"/>
        <v/>
      </c>
      <c r="F272" s="862" t="str">
        <f t="shared" si="340"/>
        <v/>
      </c>
      <c r="G272" s="863" t="str">
        <f t="shared" si="341"/>
        <v/>
      </c>
      <c r="H272" s="864" t="str">
        <f t="shared" si="342"/>
        <v/>
      </c>
      <c r="I272" s="865" t="str">
        <f t="shared" si="342"/>
        <v/>
      </c>
      <c r="J272" s="863" t="str">
        <f t="shared" si="343"/>
        <v/>
      </c>
      <c r="K272" s="866" t="str">
        <f t="shared" si="344"/>
        <v/>
      </c>
      <c r="L272" s="1293"/>
      <c r="M272" s="847">
        <v>0</v>
      </c>
      <c r="N272" s="1521">
        <v>0</v>
      </c>
      <c r="O272" s="1522" t="str">
        <f t="shared" ref="O272:O290" si="346">IF(K272="","",K272*50)</f>
        <v/>
      </c>
      <c r="P272" s="1305">
        <f t="shared" ref="P272:P290" si="347">SUM(M272:O272)</f>
        <v>0</v>
      </c>
      <c r="Q272" s="1304">
        <v>0</v>
      </c>
      <c r="R272" s="392" t="str">
        <f t="shared" ref="R272:R290" si="348">IF(K272="","",(1659*K272-P272)*AE272)</f>
        <v/>
      </c>
      <c r="S272" s="392" t="str">
        <f t="shared" ref="S272:S290" si="349">IF(K272="","",P272*AF272+AD272*(AH272+AI272*(1-AJ272)))</f>
        <v/>
      </c>
      <c r="T272" s="393">
        <f>ROUND(IF(K272="",0,+Q272/1659*(AB272*12*(1+tab!$D$111+tab!$D$112)-tab!$D$110)*tab!$D$108),-1)</f>
        <v>0</v>
      </c>
      <c r="U272" s="1321" t="str">
        <f t="shared" ref="U272:U290" si="350">IF(K272="","",IF(E272=0,0,(R272+S272+T272)))</f>
        <v/>
      </c>
      <c r="V272" s="376"/>
      <c r="W272" s="952"/>
      <c r="AB272" s="1314" t="str">
        <f t="shared" si="345"/>
        <v/>
      </c>
      <c r="AC272" s="1374">
        <f>tab!$D$101</f>
        <v>0.53</v>
      </c>
      <c r="AD272" s="1313" t="e">
        <f t="shared" ref="AD272:AD290" si="351">AB272*12/1659</f>
        <v>#VALUE!</v>
      </c>
      <c r="AE272" s="1313" t="e">
        <f t="shared" ref="AE272:AE290" si="352">AB272*12*(1+AC272)/1659</f>
        <v>#VALUE!</v>
      </c>
      <c r="AF272" s="1313" t="e">
        <f t="shared" ref="AF272:AF290" si="353">+AE272-AD272</f>
        <v>#VALUE!</v>
      </c>
      <c r="AG272" s="14">
        <f t="shared" ref="AG272:AG290" si="354">Q272</f>
        <v>0</v>
      </c>
      <c r="AH272" s="1315" t="str">
        <f t="shared" ref="AH272:AH290" si="355">O272</f>
        <v/>
      </c>
      <c r="AI272" s="14">
        <f t="shared" ref="AI272:AI290" si="356">(M272+N272)</f>
        <v>0</v>
      </c>
      <c r="AJ272" s="1316">
        <f t="shared" ref="AJ272:AJ290" si="357">IF(I272&gt;8,50%,40%)</f>
        <v>0.5</v>
      </c>
      <c r="AK272" s="6">
        <f t="shared" ref="AK272:AK290" si="358">IF(G272&lt;25,0,IF(G272=25,25,IF(G272&lt;40,0,IF(G272=40,40,IF(G272&gt;=40,0)))))</f>
        <v>0</v>
      </c>
      <c r="AL272" s="1317">
        <f t="shared" ref="AL272:AL290" si="359">IF(AK272=25,AB272*1.08*K272/2,IF(AK272=40,AB272*1.08*K272,0))</f>
        <v>0</v>
      </c>
    </row>
    <row r="273" spans="3:38" ht="12.75" customHeight="1" x14ac:dyDescent="0.2">
      <c r="C273" s="35"/>
      <c r="D273" s="862" t="str">
        <f t="shared" si="340"/>
        <v/>
      </c>
      <c r="E273" s="867" t="str">
        <f t="shared" si="340"/>
        <v/>
      </c>
      <c r="F273" s="867" t="str">
        <f t="shared" si="340"/>
        <v/>
      </c>
      <c r="G273" s="865" t="str">
        <f t="shared" si="341"/>
        <v/>
      </c>
      <c r="H273" s="868" t="str">
        <f t="shared" si="342"/>
        <v/>
      </c>
      <c r="I273" s="865" t="str">
        <f t="shared" si="342"/>
        <v/>
      </c>
      <c r="J273" s="863" t="str">
        <f t="shared" si="343"/>
        <v/>
      </c>
      <c r="K273" s="869" t="str">
        <f t="shared" si="344"/>
        <v/>
      </c>
      <c r="L273" s="1294"/>
      <c r="M273" s="847">
        <v>0</v>
      </c>
      <c r="N273" s="1521">
        <v>0</v>
      </c>
      <c r="O273" s="1522" t="str">
        <f t="shared" si="346"/>
        <v/>
      </c>
      <c r="P273" s="1305">
        <f t="shared" si="347"/>
        <v>0</v>
      </c>
      <c r="Q273" s="1304">
        <v>0</v>
      </c>
      <c r="R273" s="392" t="str">
        <f t="shared" si="348"/>
        <v/>
      </c>
      <c r="S273" s="392" t="str">
        <f t="shared" si="349"/>
        <v/>
      </c>
      <c r="T273" s="393">
        <f>ROUND(IF(K273="",0,+Q273/1659*(AB273*12*(1+tab!$D$111+tab!$D$112)-tab!$D$110)*tab!$D$108),-1)</f>
        <v>0</v>
      </c>
      <c r="U273" s="1321" t="str">
        <f t="shared" si="350"/>
        <v/>
      </c>
      <c r="V273" s="376"/>
      <c r="W273" s="952"/>
      <c r="AB273" s="1314" t="str">
        <f t="shared" si="345"/>
        <v/>
      </c>
      <c r="AC273" s="1374">
        <f>tab!$D$101</f>
        <v>0.53</v>
      </c>
      <c r="AD273" s="1313" t="e">
        <f t="shared" si="351"/>
        <v>#VALUE!</v>
      </c>
      <c r="AE273" s="1313" t="e">
        <f t="shared" si="352"/>
        <v>#VALUE!</v>
      </c>
      <c r="AF273" s="1313" t="e">
        <f t="shared" si="353"/>
        <v>#VALUE!</v>
      </c>
      <c r="AG273" s="14">
        <f t="shared" si="354"/>
        <v>0</v>
      </c>
      <c r="AH273" s="1315" t="str">
        <f t="shared" si="355"/>
        <v/>
      </c>
      <c r="AI273" s="14">
        <f t="shared" si="356"/>
        <v>0</v>
      </c>
      <c r="AJ273" s="1316">
        <f t="shared" si="357"/>
        <v>0.5</v>
      </c>
      <c r="AK273" s="6">
        <f t="shared" si="358"/>
        <v>0</v>
      </c>
      <c r="AL273" s="1317">
        <f t="shared" si="359"/>
        <v>0</v>
      </c>
    </row>
    <row r="274" spans="3:38" ht="12.75" customHeight="1" x14ac:dyDescent="0.2">
      <c r="C274" s="35"/>
      <c r="D274" s="862" t="str">
        <f t="shared" si="340"/>
        <v/>
      </c>
      <c r="E274" s="862" t="str">
        <f t="shared" si="340"/>
        <v/>
      </c>
      <c r="F274" s="862" t="str">
        <f t="shared" si="340"/>
        <v/>
      </c>
      <c r="G274" s="863" t="str">
        <f t="shared" si="341"/>
        <v/>
      </c>
      <c r="H274" s="864" t="str">
        <f t="shared" si="342"/>
        <v/>
      </c>
      <c r="I274" s="865" t="str">
        <f t="shared" si="342"/>
        <v/>
      </c>
      <c r="J274" s="863" t="str">
        <f t="shared" si="343"/>
        <v/>
      </c>
      <c r="K274" s="866" t="str">
        <f t="shared" si="344"/>
        <v/>
      </c>
      <c r="L274" s="1293"/>
      <c r="M274" s="847">
        <v>0</v>
      </c>
      <c r="N274" s="1521">
        <v>0</v>
      </c>
      <c r="O274" s="1522" t="str">
        <f t="shared" si="346"/>
        <v/>
      </c>
      <c r="P274" s="1305">
        <f t="shared" si="347"/>
        <v>0</v>
      </c>
      <c r="Q274" s="1304">
        <v>0</v>
      </c>
      <c r="R274" s="392" t="str">
        <f t="shared" si="348"/>
        <v/>
      </c>
      <c r="S274" s="392" t="str">
        <f t="shared" si="349"/>
        <v/>
      </c>
      <c r="T274" s="393">
        <f>ROUND(IF(K274="",0,+Q274/1659*(AB274*12*(1+tab!$D$111+tab!$D$112)-tab!$D$110)*tab!$D$108),-1)</f>
        <v>0</v>
      </c>
      <c r="U274" s="1321" t="str">
        <f t="shared" si="350"/>
        <v/>
      </c>
      <c r="V274" s="376"/>
      <c r="W274" s="952"/>
      <c r="AB274" s="1314" t="str">
        <f t="shared" si="345"/>
        <v/>
      </c>
      <c r="AC274" s="1374">
        <f>tab!$D$101</f>
        <v>0.53</v>
      </c>
      <c r="AD274" s="1313" t="e">
        <f t="shared" si="351"/>
        <v>#VALUE!</v>
      </c>
      <c r="AE274" s="1313" t="e">
        <f t="shared" si="352"/>
        <v>#VALUE!</v>
      </c>
      <c r="AF274" s="1313" t="e">
        <f t="shared" si="353"/>
        <v>#VALUE!</v>
      </c>
      <c r="AG274" s="14">
        <f t="shared" si="354"/>
        <v>0</v>
      </c>
      <c r="AH274" s="1315" t="str">
        <f t="shared" si="355"/>
        <v/>
      </c>
      <c r="AI274" s="14">
        <f t="shared" si="356"/>
        <v>0</v>
      </c>
      <c r="AJ274" s="1316">
        <f t="shared" si="357"/>
        <v>0.5</v>
      </c>
      <c r="AK274" s="6">
        <f t="shared" si="358"/>
        <v>0</v>
      </c>
      <c r="AL274" s="1317">
        <f t="shared" si="359"/>
        <v>0</v>
      </c>
    </row>
    <row r="275" spans="3:38" ht="12.75" customHeight="1" x14ac:dyDescent="0.2">
      <c r="C275" s="35"/>
      <c r="D275" s="862" t="str">
        <f t="shared" si="340"/>
        <v/>
      </c>
      <c r="E275" s="862" t="str">
        <f t="shared" si="340"/>
        <v/>
      </c>
      <c r="F275" s="862" t="str">
        <f t="shared" si="340"/>
        <v/>
      </c>
      <c r="G275" s="863" t="str">
        <f t="shared" si="341"/>
        <v/>
      </c>
      <c r="H275" s="864" t="str">
        <f t="shared" si="342"/>
        <v/>
      </c>
      <c r="I275" s="865" t="str">
        <f t="shared" si="342"/>
        <v/>
      </c>
      <c r="J275" s="863" t="str">
        <f t="shared" si="343"/>
        <v/>
      </c>
      <c r="K275" s="866" t="str">
        <f t="shared" si="344"/>
        <v/>
      </c>
      <c r="L275" s="1293"/>
      <c r="M275" s="847">
        <v>0</v>
      </c>
      <c r="N275" s="1521">
        <v>0</v>
      </c>
      <c r="O275" s="1522" t="str">
        <f t="shared" si="346"/>
        <v/>
      </c>
      <c r="P275" s="1305">
        <f t="shared" si="347"/>
        <v>0</v>
      </c>
      <c r="Q275" s="1304">
        <v>0</v>
      </c>
      <c r="R275" s="392" t="str">
        <f t="shared" si="348"/>
        <v/>
      </c>
      <c r="S275" s="392" t="str">
        <f t="shared" si="349"/>
        <v/>
      </c>
      <c r="T275" s="393">
        <f>ROUND(IF(K275="",0,+Q275/1659*(AB275*12*(1+tab!$D$111+tab!$D$112)-tab!$D$110)*tab!$D$108),-1)</f>
        <v>0</v>
      </c>
      <c r="U275" s="1321" t="str">
        <f t="shared" si="350"/>
        <v/>
      </c>
      <c r="V275" s="376"/>
      <c r="W275" s="952"/>
      <c r="AB275" s="1314" t="str">
        <f t="shared" si="345"/>
        <v/>
      </c>
      <c r="AC275" s="1374">
        <f>tab!$D$101</f>
        <v>0.53</v>
      </c>
      <c r="AD275" s="1313" t="e">
        <f t="shared" si="351"/>
        <v>#VALUE!</v>
      </c>
      <c r="AE275" s="1313" t="e">
        <f t="shared" si="352"/>
        <v>#VALUE!</v>
      </c>
      <c r="AF275" s="1313" t="e">
        <f t="shared" si="353"/>
        <v>#VALUE!</v>
      </c>
      <c r="AG275" s="14">
        <f t="shared" si="354"/>
        <v>0</v>
      </c>
      <c r="AH275" s="1315" t="str">
        <f t="shared" si="355"/>
        <v/>
      </c>
      <c r="AI275" s="14">
        <f t="shared" si="356"/>
        <v>0</v>
      </c>
      <c r="AJ275" s="1316">
        <f t="shared" si="357"/>
        <v>0.5</v>
      </c>
      <c r="AK275" s="6">
        <f t="shared" si="358"/>
        <v>0</v>
      </c>
      <c r="AL275" s="1317">
        <f t="shared" si="359"/>
        <v>0</v>
      </c>
    </row>
    <row r="276" spans="3:38" ht="12.75" customHeight="1" x14ac:dyDescent="0.2">
      <c r="C276" s="35"/>
      <c r="D276" s="862" t="str">
        <f t="shared" si="340"/>
        <v/>
      </c>
      <c r="E276" s="862" t="str">
        <f t="shared" si="340"/>
        <v/>
      </c>
      <c r="F276" s="862" t="str">
        <f t="shared" si="340"/>
        <v/>
      </c>
      <c r="G276" s="863" t="str">
        <f t="shared" si="341"/>
        <v/>
      </c>
      <c r="H276" s="864" t="str">
        <f t="shared" si="342"/>
        <v/>
      </c>
      <c r="I276" s="865" t="str">
        <f t="shared" si="342"/>
        <v/>
      </c>
      <c r="J276" s="863" t="str">
        <f t="shared" si="343"/>
        <v/>
      </c>
      <c r="K276" s="866" t="str">
        <f t="shared" si="344"/>
        <v/>
      </c>
      <c r="L276" s="1293"/>
      <c r="M276" s="847">
        <v>0</v>
      </c>
      <c r="N276" s="1521">
        <v>0</v>
      </c>
      <c r="O276" s="1522" t="str">
        <f t="shared" si="346"/>
        <v/>
      </c>
      <c r="P276" s="1305">
        <f t="shared" si="347"/>
        <v>0</v>
      </c>
      <c r="Q276" s="1304">
        <v>0</v>
      </c>
      <c r="R276" s="392" t="str">
        <f t="shared" si="348"/>
        <v/>
      </c>
      <c r="S276" s="392" t="str">
        <f t="shared" si="349"/>
        <v/>
      </c>
      <c r="T276" s="393">
        <f>ROUND(IF(K276="",0,+Q276/1659*(AB276*12*(1+tab!$D$111+tab!$D$112)-tab!$D$110)*tab!$D$108),-1)</f>
        <v>0</v>
      </c>
      <c r="U276" s="1321" t="str">
        <f t="shared" si="350"/>
        <v/>
      </c>
      <c r="V276" s="376"/>
      <c r="W276" s="952"/>
      <c r="AB276" s="1314" t="str">
        <f t="shared" si="345"/>
        <v/>
      </c>
      <c r="AC276" s="1374">
        <f>tab!$D$101</f>
        <v>0.53</v>
      </c>
      <c r="AD276" s="1313" t="e">
        <f t="shared" si="351"/>
        <v>#VALUE!</v>
      </c>
      <c r="AE276" s="1313" t="e">
        <f t="shared" si="352"/>
        <v>#VALUE!</v>
      </c>
      <c r="AF276" s="1313" t="e">
        <f t="shared" si="353"/>
        <v>#VALUE!</v>
      </c>
      <c r="AG276" s="14">
        <f t="shared" si="354"/>
        <v>0</v>
      </c>
      <c r="AH276" s="1315" t="str">
        <f t="shared" si="355"/>
        <v/>
      </c>
      <c r="AI276" s="14">
        <f t="shared" si="356"/>
        <v>0</v>
      </c>
      <c r="AJ276" s="1316">
        <f t="shared" si="357"/>
        <v>0.5</v>
      </c>
      <c r="AK276" s="6">
        <f t="shared" si="358"/>
        <v>0</v>
      </c>
      <c r="AL276" s="1317">
        <f t="shared" si="359"/>
        <v>0</v>
      </c>
    </row>
    <row r="277" spans="3:38" ht="12.75" customHeight="1" x14ac:dyDescent="0.2">
      <c r="C277" s="35"/>
      <c r="D277" s="862" t="str">
        <f t="shared" si="340"/>
        <v/>
      </c>
      <c r="E277" s="862" t="str">
        <f t="shared" si="340"/>
        <v/>
      </c>
      <c r="F277" s="862" t="str">
        <f t="shared" si="340"/>
        <v/>
      </c>
      <c r="G277" s="863" t="str">
        <f t="shared" si="341"/>
        <v/>
      </c>
      <c r="H277" s="864" t="str">
        <f t="shared" si="342"/>
        <v/>
      </c>
      <c r="I277" s="865" t="str">
        <f t="shared" si="342"/>
        <v/>
      </c>
      <c r="J277" s="863" t="str">
        <f t="shared" si="343"/>
        <v/>
      </c>
      <c r="K277" s="866" t="str">
        <f t="shared" si="344"/>
        <v/>
      </c>
      <c r="L277" s="1293"/>
      <c r="M277" s="847">
        <v>0</v>
      </c>
      <c r="N277" s="1521">
        <v>0</v>
      </c>
      <c r="O277" s="1522" t="str">
        <f t="shared" si="346"/>
        <v/>
      </c>
      <c r="P277" s="1305">
        <f t="shared" si="347"/>
        <v>0</v>
      </c>
      <c r="Q277" s="1304">
        <v>0</v>
      </c>
      <c r="R277" s="392" t="str">
        <f t="shared" si="348"/>
        <v/>
      </c>
      <c r="S277" s="392" t="str">
        <f t="shared" si="349"/>
        <v/>
      </c>
      <c r="T277" s="393">
        <f>ROUND(IF(K277="",0,+Q277/1659*(AB277*12*(1+tab!$D$111+tab!$D$112)-tab!$D$110)*tab!$D$108),-1)</f>
        <v>0</v>
      </c>
      <c r="U277" s="1321" t="str">
        <f t="shared" si="350"/>
        <v/>
      </c>
      <c r="V277" s="376"/>
      <c r="W277" s="952"/>
      <c r="AB277" s="1314" t="str">
        <f t="shared" si="345"/>
        <v/>
      </c>
      <c r="AC277" s="1374">
        <f>tab!$D$101</f>
        <v>0.53</v>
      </c>
      <c r="AD277" s="1313" t="e">
        <f t="shared" si="351"/>
        <v>#VALUE!</v>
      </c>
      <c r="AE277" s="1313" t="e">
        <f t="shared" si="352"/>
        <v>#VALUE!</v>
      </c>
      <c r="AF277" s="1313" t="e">
        <f t="shared" si="353"/>
        <v>#VALUE!</v>
      </c>
      <c r="AG277" s="14">
        <f t="shared" si="354"/>
        <v>0</v>
      </c>
      <c r="AH277" s="1315" t="str">
        <f t="shared" si="355"/>
        <v/>
      </c>
      <c r="AI277" s="14">
        <f t="shared" si="356"/>
        <v>0</v>
      </c>
      <c r="AJ277" s="1316">
        <f t="shared" si="357"/>
        <v>0.5</v>
      </c>
      <c r="AK277" s="6">
        <f t="shared" si="358"/>
        <v>0</v>
      </c>
      <c r="AL277" s="1317">
        <f t="shared" si="359"/>
        <v>0</v>
      </c>
    </row>
    <row r="278" spans="3:38" ht="12.75" customHeight="1" x14ac:dyDescent="0.2">
      <c r="C278" s="35"/>
      <c r="D278" s="862" t="str">
        <f t="shared" si="340"/>
        <v/>
      </c>
      <c r="E278" s="862" t="str">
        <f t="shared" si="340"/>
        <v/>
      </c>
      <c r="F278" s="862" t="str">
        <f t="shared" si="340"/>
        <v/>
      </c>
      <c r="G278" s="863" t="str">
        <f t="shared" si="341"/>
        <v/>
      </c>
      <c r="H278" s="864" t="str">
        <f t="shared" si="342"/>
        <v/>
      </c>
      <c r="I278" s="865" t="str">
        <f t="shared" si="342"/>
        <v/>
      </c>
      <c r="J278" s="863" t="str">
        <f t="shared" si="343"/>
        <v/>
      </c>
      <c r="K278" s="866" t="str">
        <f t="shared" si="344"/>
        <v/>
      </c>
      <c r="L278" s="1293"/>
      <c r="M278" s="847">
        <v>0</v>
      </c>
      <c r="N278" s="1521">
        <v>0</v>
      </c>
      <c r="O278" s="1522" t="str">
        <f t="shared" si="346"/>
        <v/>
      </c>
      <c r="P278" s="1305">
        <f t="shared" si="347"/>
        <v>0</v>
      </c>
      <c r="Q278" s="1304">
        <v>0</v>
      </c>
      <c r="R278" s="392" t="str">
        <f t="shared" si="348"/>
        <v/>
      </c>
      <c r="S278" s="392" t="str">
        <f t="shared" si="349"/>
        <v/>
      </c>
      <c r="T278" s="393">
        <f>ROUND(IF(K278="",0,+Q278/1659*(AB278*12*(1+tab!$D$111+tab!$D$112)-tab!$D$110)*tab!$D$108),-1)</f>
        <v>0</v>
      </c>
      <c r="U278" s="1321" t="str">
        <f t="shared" si="350"/>
        <v/>
      </c>
      <c r="V278" s="376"/>
      <c r="W278" s="952"/>
      <c r="AB278" s="1314" t="str">
        <f t="shared" si="345"/>
        <v/>
      </c>
      <c r="AC278" s="1374">
        <f>tab!$D$101</f>
        <v>0.53</v>
      </c>
      <c r="AD278" s="1313" t="e">
        <f t="shared" si="351"/>
        <v>#VALUE!</v>
      </c>
      <c r="AE278" s="1313" t="e">
        <f t="shared" si="352"/>
        <v>#VALUE!</v>
      </c>
      <c r="AF278" s="1313" t="e">
        <f t="shared" si="353"/>
        <v>#VALUE!</v>
      </c>
      <c r="AG278" s="14">
        <f t="shared" si="354"/>
        <v>0</v>
      </c>
      <c r="AH278" s="1315" t="str">
        <f t="shared" si="355"/>
        <v/>
      </c>
      <c r="AI278" s="14">
        <f t="shared" si="356"/>
        <v>0</v>
      </c>
      <c r="AJ278" s="1316">
        <f t="shared" si="357"/>
        <v>0.5</v>
      </c>
      <c r="AK278" s="6">
        <f t="shared" si="358"/>
        <v>0</v>
      </c>
      <c r="AL278" s="1317">
        <f t="shared" si="359"/>
        <v>0</v>
      </c>
    </row>
    <row r="279" spans="3:38" ht="12.75" customHeight="1" x14ac:dyDescent="0.2">
      <c r="C279" s="35"/>
      <c r="D279" s="862" t="str">
        <f t="shared" si="340"/>
        <v/>
      </c>
      <c r="E279" s="862" t="str">
        <f t="shared" si="340"/>
        <v/>
      </c>
      <c r="F279" s="862" t="str">
        <f t="shared" si="340"/>
        <v/>
      </c>
      <c r="G279" s="863" t="str">
        <f t="shared" si="341"/>
        <v/>
      </c>
      <c r="H279" s="864" t="str">
        <f t="shared" si="342"/>
        <v/>
      </c>
      <c r="I279" s="865" t="str">
        <f t="shared" si="342"/>
        <v/>
      </c>
      <c r="J279" s="863" t="str">
        <f t="shared" si="343"/>
        <v/>
      </c>
      <c r="K279" s="866" t="str">
        <f t="shared" si="344"/>
        <v/>
      </c>
      <c r="L279" s="1293"/>
      <c r="M279" s="847">
        <v>0</v>
      </c>
      <c r="N279" s="1521">
        <v>0</v>
      </c>
      <c r="O279" s="1522" t="str">
        <f t="shared" si="346"/>
        <v/>
      </c>
      <c r="P279" s="1305">
        <f t="shared" si="347"/>
        <v>0</v>
      </c>
      <c r="Q279" s="1304">
        <v>0</v>
      </c>
      <c r="R279" s="392" t="str">
        <f t="shared" si="348"/>
        <v/>
      </c>
      <c r="S279" s="392" t="str">
        <f t="shared" si="349"/>
        <v/>
      </c>
      <c r="T279" s="393">
        <f>ROUND(IF(K279="",0,+Q279/1659*(AB279*12*(1+tab!$D$111+tab!$D$112)-tab!$D$110)*tab!$D$108),-1)</f>
        <v>0</v>
      </c>
      <c r="U279" s="1321" t="str">
        <f t="shared" si="350"/>
        <v/>
      </c>
      <c r="V279" s="376"/>
      <c r="W279" s="952"/>
      <c r="AB279" s="1314" t="str">
        <f t="shared" si="345"/>
        <v/>
      </c>
      <c r="AC279" s="1374">
        <f>tab!$D$101</f>
        <v>0.53</v>
      </c>
      <c r="AD279" s="1313" t="e">
        <f t="shared" si="351"/>
        <v>#VALUE!</v>
      </c>
      <c r="AE279" s="1313" t="e">
        <f t="shared" si="352"/>
        <v>#VALUE!</v>
      </c>
      <c r="AF279" s="1313" t="e">
        <f t="shared" si="353"/>
        <v>#VALUE!</v>
      </c>
      <c r="AG279" s="14">
        <f t="shared" si="354"/>
        <v>0</v>
      </c>
      <c r="AH279" s="1315" t="str">
        <f t="shared" si="355"/>
        <v/>
      </c>
      <c r="AI279" s="14">
        <f t="shared" si="356"/>
        <v>0</v>
      </c>
      <c r="AJ279" s="1316">
        <f t="shared" si="357"/>
        <v>0.5</v>
      </c>
      <c r="AK279" s="6">
        <f t="shared" si="358"/>
        <v>0</v>
      </c>
      <c r="AL279" s="1317">
        <f t="shared" si="359"/>
        <v>0</v>
      </c>
    </row>
    <row r="280" spans="3:38" ht="12.75" customHeight="1" x14ac:dyDescent="0.2">
      <c r="C280" s="35"/>
      <c r="D280" s="862" t="str">
        <f t="shared" si="340"/>
        <v/>
      </c>
      <c r="E280" s="862" t="str">
        <f t="shared" si="340"/>
        <v/>
      </c>
      <c r="F280" s="862" t="str">
        <f t="shared" si="340"/>
        <v/>
      </c>
      <c r="G280" s="863" t="str">
        <f t="shared" si="341"/>
        <v/>
      </c>
      <c r="H280" s="864" t="str">
        <f t="shared" si="342"/>
        <v/>
      </c>
      <c r="I280" s="865" t="str">
        <f t="shared" si="342"/>
        <v/>
      </c>
      <c r="J280" s="863" t="str">
        <f t="shared" si="343"/>
        <v/>
      </c>
      <c r="K280" s="866" t="str">
        <f t="shared" si="344"/>
        <v/>
      </c>
      <c r="L280" s="1293"/>
      <c r="M280" s="847">
        <v>0</v>
      </c>
      <c r="N280" s="1521">
        <v>0</v>
      </c>
      <c r="O280" s="1522" t="str">
        <f t="shared" si="346"/>
        <v/>
      </c>
      <c r="P280" s="1305">
        <f t="shared" si="347"/>
        <v>0</v>
      </c>
      <c r="Q280" s="1304">
        <v>0</v>
      </c>
      <c r="R280" s="392" t="str">
        <f t="shared" si="348"/>
        <v/>
      </c>
      <c r="S280" s="392" t="str">
        <f t="shared" si="349"/>
        <v/>
      </c>
      <c r="T280" s="393">
        <f>ROUND(IF(K280="",0,+Q280/1659*(AB280*12*(1+tab!$D$111+tab!$D$112)-tab!$D$110)*tab!$D$108),-1)</f>
        <v>0</v>
      </c>
      <c r="U280" s="1321" t="str">
        <f t="shared" si="350"/>
        <v/>
      </c>
      <c r="V280" s="376"/>
      <c r="W280" s="952"/>
      <c r="AB280" s="1314" t="str">
        <f t="shared" si="345"/>
        <v/>
      </c>
      <c r="AC280" s="1374">
        <f>tab!$D$101</f>
        <v>0.53</v>
      </c>
      <c r="AD280" s="1313" t="e">
        <f t="shared" si="351"/>
        <v>#VALUE!</v>
      </c>
      <c r="AE280" s="1313" t="e">
        <f t="shared" si="352"/>
        <v>#VALUE!</v>
      </c>
      <c r="AF280" s="1313" t="e">
        <f t="shared" si="353"/>
        <v>#VALUE!</v>
      </c>
      <c r="AG280" s="14">
        <f t="shared" si="354"/>
        <v>0</v>
      </c>
      <c r="AH280" s="1315" t="str">
        <f t="shared" si="355"/>
        <v/>
      </c>
      <c r="AI280" s="14">
        <f t="shared" si="356"/>
        <v>0</v>
      </c>
      <c r="AJ280" s="1316">
        <f t="shared" si="357"/>
        <v>0.5</v>
      </c>
      <c r="AK280" s="6">
        <f t="shared" si="358"/>
        <v>0</v>
      </c>
      <c r="AL280" s="1317">
        <f t="shared" si="359"/>
        <v>0</v>
      </c>
    </row>
    <row r="281" spans="3:38" ht="12.75" customHeight="1" x14ac:dyDescent="0.2">
      <c r="C281" s="35"/>
      <c r="D281" s="862" t="str">
        <f t="shared" si="340"/>
        <v/>
      </c>
      <c r="E281" s="862" t="str">
        <f t="shared" si="340"/>
        <v/>
      </c>
      <c r="F281" s="862" t="str">
        <f t="shared" si="340"/>
        <v/>
      </c>
      <c r="G281" s="863" t="str">
        <f t="shared" si="341"/>
        <v/>
      </c>
      <c r="H281" s="864" t="str">
        <f t="shared" si="342"/>
        <v/>
      </c>
      <c r="I281" s="865" t="str">
        <f t="shared" si="342"/>
        <v/>
      </c>
      <c r="J281" s="863" t="str">
        <f t="shared" si="343"/>
        <v/>
      </c>
      <c r="K281" s="866" t="str">
        <f t="shared" si="344"/>
        <v/>
      </c>
      <c r="L281" s="1293"/>
      <c r="M281" s="847">
        <v>0</v>
      </c>
      <c r="N281" s="1521">
        <v>0</v>
      </c>
      <c r="O281" s="1522" t="str">
        <f t="shared" si="346"/>
        <v/>
      </c>
      <c r="P281" s="1305">
        <f t="shared" si="347"/>
        <v>0</v>
      </c>
      <c r="Q281" s="1304">
        <v>0</v>
      </c>
      <c r="R281" s="392" t="str">
        <f t="shared" si="348"/>
        <v/>
      </c>
      <c r="S281" s="392" t="str">
        <f t="shared" si="349"/>
        <v/>
      </c>
      <c r="T281" s="393">
        <f>ROUND(IF(K281="",0,+Q281/1659*(AB281*12*(1+tab!$D$111+tab!$D$112)-tab!$D$110)*tab!$D$108),-1)</f>
        <v>0</v>
      </c>
      <c r="U281" s="1321" t="str">
        <f t="shared" si="350"/>
        <v/>
      </c>
      <c r="V281" s="376"/>
      <c r="W281" s="952"/>
      <c r="AB281" s="1314" t="str">
        <f t="shared" si="345"/>
        <v/>
      </c>
      <c r="AC281" s="1374">
        <f>tab!$D$101</f>
        <v>0.53</v>
      </c>
      <c r="AD281" s="1313" t="e">
        <f t="shared" si="351"/>
        <v>#VALUE!</v>
      </c>
      <c r="AE281" s="1313" t="e">
        <f t="shared" si="352"/>
        <v>#VALUE!</v>
      </c>
      <c r="AF281" s="1313" t="e">
        <f t="shared" si="353"/>
        <v>#VALUE!</v>
      </c>
      <c r="AG281" s="14">
        <f t="shared" si="354"/>
        <v>0</v>
      </c>
      <c r="AH281" s="1315" t="str">
        <f t="shared" si="355"/>
        <v/>
      </c>
      <c r="AI281" s="14">
        <f t="shared" si="356"/>
        <v>0</v>
      </c>
      <c r="AJ281" s="1316">
        <f t="shared" si="357"/>
        <v>0.5</v>
      </c>
      <c r="AK281" s="6">
        <f t="shared" si="358"/>
        <v>0</v>
      </c>
      <c r="AL281" s="1317">
        <f t="shared" si="359"/>
        <v>0</v>
      </c>
    </row>
    <row r="282" spans="3:38" ht="12.75" customHeight="1" x14ac:dyDescent="0.2">
      <c r="C282" s="35"/>
      <c r="D282" s="862" t="str">
        <f t="shared" si="340"/>
        <v/>
      </c>
      <c r="E282" s="862" t="str">
        <f t="shared" si="340"/>
        <v/>
      </c>
      <c r="F282" s="862" t="str">
        <f t="shared" si="340"/>
        <v/>
      </c>
      <c r="G282" s="863" t="str">
        <f t="shared" si="341"/>
        <v/>
      </c>
      <c r="H282" s="864" t="str">
        <f t="shared" si="342"/>
        <v/>
      </c>
      <c r="I282" s="865" t="str">
        <f t="shared" si="342"/>
        <v/>
      </c>
      <c r="J282" s="863" t="str">
        <f t="shared" si="343"/>
        <v/>
      </c>
      <c r="K282" s="866" t="str">
        <f t="shared" si="344"/>
        <v/>
      </c>
      <c r="L282" s="1293"/>
      <c r="M282" s="847">
        <v>0</v>
      </c>
      <c r="N282" s="1521">
        <v>0</v>
      </c>
      <c r="O282" s="1522" t="str">
        <f t="shared" si="346"/>
        <v/>
      </c>
      <c r="P282" s="1305">
        <f t="shared" si="347"/>
        <v>0</v>
      </c>
      <c r="Q282" s="1304">
        <v>0</v>
      </c>
      <c r="R282" s="392" t="str">
        <f t="shared" si="348"/>
        <v/>
      </c>
      <c r="S282" s="392" t="str">
        <f t="shared" si="349"/>
        <v/>
      </c>
      <c r="T282" s="393">
        <f>ROUND(IF(K282="",0,+Q282/1659*(AB282*12*(1+tab!$D$111+tab!$D$112)-tab!$D$110)*tab!$D$108),-1)</f>
        <v>0</v>
      </c>
      <c r="U282" s="1321" t="str">
        <f t="shared" si="350"/>
        <v/>
      </c>
      <c r="V282" s="376"/>
      <c r="W282" s="952"/>
      <c r="AB282" s="1314" t="str">
        <f t="shared" si="345"/>
        <v/>
      </c>
      <c r="AC282" s="1374">
        <f>tab!$D$101</f>
        <v>0.53</v>
      </c>
      <c r="AD282" s="1313" t="e">
        <f t="shared" si="351"/>
        <v>#VALUE!</v>
      </c>
      <c r="AE282" s="1313" t="e">
        <f t="shared" si="352"/>
        <v>#VALUE!</v>
      </c>
      <c r="AF282" s="1313" t="e">
        <f t="shared" si="353"/>
        <v>#VALUE!</v>
      </c>
      <c r="AG282" s="14">
        <f t="shared" si="354"/>
        <v>0</v>
      </c>
      <c r="AH282" s="1315" t="str">
        <f t="shared" si="355"/>
        <v/>
      </c>
      <c r="AI282" s="14">
        <f t="shared" si="356"/>
        <v>0</v>
      </c>
      <c r="AJ282" s="1316">
        <f t="shared" si="357"/>
        <v>0.5</v>
      </c>
      <c r="AK282" s="6">
        <f t="shared" si="358"/>
        <v>0</v>
      </c>
      <c r="AL282" s="1317">
        <f t="shared" si="359"/>
        <v>0</v>
      </c>
    </row>
    <row r="283" spans="3:38" ht="12.75" customHeight="1" x14ac:dyDescent="0.2">
      <c r="C283" s="35"/>
      <c r="D283" s="862" t="str">
        <f t="shared" si="340"/>
        <v/>
      </c>
      <c r="E283" s="862" t="str">
        <f t="shared" si="340"/>
        <v/>
      </c>
      <c r="F283" s="862" t="str">
        <f t="shared" si="340"/>
        <v/>
      </c>
      <c r="G283" s="863" t="str">
        <f t="shared" si="341"/>
        <v/>
      </c>
      <c r="H283" s="864" t="str">
        <f t="shared" si="342"/>
        <v/>
      </c>
      <c r="I283" s="865" t="str">
        <f t="shared" si="342"/>
        <v/>
      </c>
      <c r="J283" s="863" t="str">
        <f t="shared" si="343"/>
        <v/>
      </c>
      <c r="K283" s="866" t="str">
        <f t="shared" si="344"/>
        <v/>
      </c>
      <c r="L283" s="1293"/>
      <c r="M283" s="847">
        <v>0</v>
      </c>
      <c r="N283" s="1521">
        <v>0</v>
      </c>
      <c r="O283" s="1522" t="str">
        <f t="shared" si="346"/>
        <v/>
      </c>
      <c r="P283" s="1305">
        <f t="shared" si="347"/>
        <v>0</v>
      </c>
      <c r="Q283" s="1304">
        <v>0</v>
      </c>
      <c r="R283" s="392" t="str">
        <f t="shared" si="348"/>
        <v/>
      </c>
      <c r="S283" s="392" t="str">
        <f t="shared" si="349"/>
        <v/>
      </c>
      <c r="T283" s="393">
        <f>ROUND(IF(K283="",0,+Q283/1659*(AB283*12*(1+tab!$D$111+tab!$D$112)-tab!$D$110)*tab!$D$108),-1)</f>
        <v>0</v>
      </c>
      <c r="U283" s="1321" t="str">
        <f t="shared" si="350"/>
        <v/>
      </c>
      <c r="V283" s="376"/>
      <c r="W283" s="952"/>
      <c r="AB283" s="1314" t="str">
        <f t="shared" si="345"/>
        <v/>
      </c>
      <c r="AC283" s="1374">
        <f>tab!$D$101</f>
        <v>0.53</v>
      </c>
      <c r="AD283" s="1313" t="e">
        <f t="shared" si="351"/>
        <v>#VALUE!</v>
      </c>
      <c r="AE283" s="1313" t="e">
        <f t="shared" si="352"/>
        <v>#VALUE!</v>
      </c>
      <c r="AF283" s="1313" t="e">
        <f t="shared" si="353"/>
        <v>#VALUE!</v>
      </c>
      <c r="AG283" s="14">
        <f t="shared" si="354"/>
        <v>0</v>
      </c>
      <c r="AH283" s="1315" t="str">
        <f t="shared" si="355"/>
        <v/>
      </c>
      <c r="AI283" s="14">
        <f t="shared" si="356"/>
        <v>0</v>
      </c>
      <c r="AJ283" s="1316">
        <f t="shared" si="357"/>
        <v>0.5</v>
      </c>
      <c r="AK283" s="6">
        <f t="shared" si="358"/>
        <v>0</v>
      </c>
      <c r="AL283" s="1317">
        <f t="shared" si="359"/>
        <v>0</v>
      </c>
    </row>
    <row r="284" spans="3:38" ht="12.75" customHeight="1" x14ac:dyDescent="0.2">
      <c r="C284" s="35"/>
      <c r="D284" s="862" t="str">
        <f t="shared" si="340"/>
        <v/>
      </c>
      <c r="E284" s="862" t="str">
        <f t="shared" si="340"/>
        <v/>
      </c>
      <c r="F284" s="862" t="str">
        <f t="shared" si="340"/>
        <v/>
      </c>
      <c r="G284" s="863" t="str">
        <f t="shared" si="341"/>
        <v/>
      </c>
      <c r="H284" s="864" t="str">
        <f t="shared" si="342"/>
        <v/>
      </c>
      <c r="I284" s="865" t="str">
        <f t="shared" si="342"/>
        <v/>
      </c>
      <c r="J284" s="863" t="str">
        <f t="shared" si="343"/>
        <v/>
      </c>
      <c r="K284" s="866" t="str">
        <f t="shared" si="344"/>
        <v/>
      </c>
      <c r="L284" s="1293"/>
      <c r="M284" s="847">
        <v>0</v>
      </c>
      <c r="N284" s="1521">
        <v>0</v>
      </c>
      <c r="O284" s="1522" t="str">
        <f t="shared" si="346"/>
        <v/>
      </c>
      <c r="P284" s="1305">
        <f t="shared" si="347"/>
        <v>0</v>
      </c>
      <c r="Q284" s="1304">
        <v>0</v>
      </c>
      <c r="R284" s="392" t="str">
        <f t="shared" si="348"/>
        <v/>
      </c>
      <c r="S284" s="392" t="str">
        <f t="shared" si="349"/>
        <v/>
      </c>
      <c r="T284" s="393">
        <f>ROUND(IF(K284="",0,+Q284/1659*(AB284*12*(1+tab!$D$111+tab!$D$112)-tab!$D$110)*tab!$D$108),-1)</f>
        <v>0</v>
      </c>
      <c r="U284" s="1321" t="str">
        <f t="shared" si="350"/>
        <v/>
      </c>
      <c r="V284" s="376"/>
      <c r="W284" s="952"/>
      <c r="AB284" s="1314" t="str">
        <f t="shared" si="345"/>
        <v/>
      </c>
      <c r="AC284" s="1374">
        <f>tab!$D$101</f>
        <v>0.53</v>
      </c>
      <c r="AD284" s="1313" t="e">
        <f t="shared" si="351"/>
        <v>#VALUE!</v>
      </c>
      <c r="AE284" s="1313" t="e">
        <f t="shared" si="352"/>
        <v>#VALUE!</v>
      </c>
      <c r="AF284" s="1313" t="e">
        <f t="shared" si="353"/>
        <v>#VALUE!</v>
      </c>
      <c r="AG284" s="14">
        <f t="shared" si="354"/>
        <v>0</v>
      </c>
      <c r="AH284" s="1315" t="str">
        <f t="shared" si="355"/>
        <v/>
      </c>
      <c r="AI284" s="14">
        <f t="shared" si="356"/>
        <v>0</v>
      </c>
      <c r="AJ284" s="1316">
        <f t="shared" si="357"/>
        <v>0.5</v>
      </c>
      <c r="AK284" s="6">
        <f t="shared" si="358"/>
        <v>0</v>
      </c>
      <c r="AL284" s="1317">
        <f t="shared" si="359"/>
        <v>0</v>
      </c>
    </row>
    <row r="285" spans="3:38" ht="12.75" customHeight="1" x14ac:dyDescent="0.2">
      <c r="C285" s="35"/>
      <c r="D285" s="862" t="str">
        <f t="shared" si="340"/>
        <v/>
      </c>
      <c r="E285" s="862" t="str">
        <f t="shared" si="340"/>
        <v/>
      </c>
      <c r="F285" s="862" t="str">
        <f t="shared" si="340"/>
        <v/>
      </c>
      <c r="G285" s="863" t="str">
        <f t="shared" si="341"/>
        <v/>
      </c>
      <c r="H285" s="864" t="str">
        <f t="shared" si="342"/>
        <v/>
      </c>
      <c r="I285" s="865" t="str">
        <f t="shared" si="342"/>
        <v/>
      </c>
      <c r="J285" s="863" t="str">
        <f t="shared" si="343"/>
        <v/>
      </c>
      <c r="K285" s="866" t="str">
        <f t="shared" si="344"/>
        <v/>
      </c>
      <c r="L285" s="1293"/>
      <c r="M285" s="847">
        <v>0</v>
      </c>
      <c r="N285" s="1521">
        <v>0</v>
      </c>
      <c r="O285" s="1522" t="str">
        <f t="shared" si="346"/>
        <v/>
      </c>
      <c r="P285" s="1305">
        <f t="shared" si="347"/>
        <v>0</v>
      </c>
      <c r="Q285" s="1304">
        <v>0</v>
      </c>
      <c r="R285" s="392" t="str">
        <f t="shared" si="348"/>
        <v/>
      </c>
      <c r="S285" s="392" t="str">
        <f t="shared" si="349"/>
        <v/>
      </c>
      <c r="T285" s="393">
        <f>ROUND(IF(K285="",0,+Q285/1659*(AB285*12*(1+tab!$D$111+tab!$D$112)-tab!$D$110)*tab!$D$108),-1)</f>
        <v>0</v>
      </c>
      <c r="U285" s="1321" t="str">
        <f t="shared" si="350"/>
        <v/>
      </c>
      <c r="V285" s="376"/>
      <c r="W285" s="952"/>
      <c r="AB285" s="1314" t="str">
        <f t="shared" si="345"/>
        <v/>
      </c>
      <c r="AC285" s="1374">
        <f>tab!$D$101</f>
        <v>0.53</v>
      </c>
      <c r="AD285" s="1313" t="e">
        <f t="shared" si="351"/>
        <v>#VALUE!</v>
      </c>
      <c r="AE285" s="1313" t="e">
        <f t="shared" si="352"/>
        <v>#VALUE!</v>
      </c>
      <c r="AF285" s="1313" t="e">
        <f t="shared" si="353"/>
        <v>#VALUE!</v>
      </c>
      <c r="AG285" s="14">
        <f t="shared" si="354"/>
        <v>0</v>
      </c>
      <c r="AH285" s="1315" t="str">
        <f t="shared" si="355"/>
        <v/>
      </c>
      <c r="AI285" s="14">
        <f t="shared" si="356"/>
        <v>0</v>
      </c>
      <c r="AJ285" s="1316">
        <f t="shared" si="357"/>
        <v>0.5</v>
      </c>
      <c r="AK285" s="6">
        <f t="shared" si="358"/>
        <v>0</v>
      </c>
      <c r="AL285" s="1317">
        <f t="shared" si="359"/>
        <v>0</v>
      </c>
    </row>
    <row r="286" spans="3:38" ht="12.75" customHeight="1" x14ac:dyDescent="0.2">
      <c r="C286" s="35"/>
      <c r="D286" s="862" t="str">
        <f t="shared" si="340"/>
        <v/>
      </c>
      <c r="E286" s="862" t="str">
        <f t="shared" si="340"/>
        <v/>
      </c>
      <c r="F286" s="862" t="str">
        <f t="shared" si="340"/>
        <v/>
      </c>
      <c r="G286" s="863" t="str">
        <f t="shared" si="341"/>
        <v/>
      </c>
      <c r="H286" s="864" t="str">
        <f t="shared" si="342"/>
        <v/>
      </c>
      <c r="I286" s="865" t="str">
        <f t="shared" si="342"/>
        <v/>
      </c>
      <c r="J286" s="863" t="str">
        <f t="shared" si="343"/>
        <v/>
      </c>
      <c r="K286" s="866" t="str">
        <f t="shared" si="344"/>
        <v/>
      </c>
      <c r="L286" s="1293"/>
      <c r="M286" s="847">
        <v>0</v>
      </c>
      <c r="N286" s="1521">
        <v>0</v>
      </c>
      <c r="O286" s="1522" t="str">
        <f t="shared" si="346"/>
        <v/>
      </c>
      <c r="P286" s="1305">
        <f t="shared" si="347"/>
        <v>0</v>
      </c>
      <c r="Q286" s="1304">
        <v>0</v>
      </c>
      <c r="R286" s="392" t="str">
        <f t="shared" si="348"/>
        <v/>
      </c>
      <c r="S286" s="392" t="str">
        <f t="shared" si="349"/>
        <v/>
      </c>
      <c r="T286" s="393">
        <f>ROUND(IF(K286="",0,+Q286/1659*(AB286*12*(1+tab!$D$111+tab!$D$112)-tab!$D$110)*tab!$D$108),-1)</f>
        <v>0</v>
      </c>
      <c r="U286" s="1321" t="str">
        <f t="shared" si="350"/>
        <v/>
      </c>
      <c r="V286" s="376"/>
      <c r="W286" s="952"/>
      <c r="AB286" s="1314" t="str">
        <f t="shared" si="345"/>
        <v/>
      </c>
      <c r="AC286" s="1374">
        <f>tab!$D$101</f>
        <v>0.53</v>
      </c>
      <c r="AD286" s="1313" t="e">
        <f t="shared" si="351"/>
        <v>#VALUE!</v>
      </c>
      <c r="AE286" s="1313" t="e">
        <f t="shared" si="352"/>
        <v>#VALUE!</v>
      </c>
      <c r="AF286" s="1313" t="e">
        <f t="shared" si="353"/>
        <v>#VALUE!</v>
      </c>
      <c r="AG286" s="14">
        <f t="shared" si="354"/>
        <v>0</v>
      </c>
      <c r="AH286" s="1315" t="str">
        <f t="shared" si="355"/>
        <v/>
      </c>
      <c r="AI286" s="14">
        <f t="shared" si="356"/>
        <v>0</v>
      </c>
      <c r="AJ286" s="1316">
        <f t="shared" si="357"/>
        <v>0.5</v>
      </c>
      <c r="AK286" s="6">
        <f t="shared" si="358"/>
        <v>0</v>
      </c>
      <c r="AL286" s="1317">
        <f t="shared" si="359"/>
        <v>0</v>
      </c>
    </row>
    <row r="287" spans="3:38" ht="12.75" customHeight="1" x14ac:dyDescent="0.2">
      <c r="C287" s="35"/>
      <c r="D287" s="862" t="str">
        <f t="shared" si="340"/>
        <v/>
      </c>
      <c r="E287" s="862" t="str">
        <f t="shared" si="340"/>
        <v/>
      </c>
      <c r="F287" s="862" t="str">
        <f t="shared" si="340"/>
        <v/>
      </c>
      <c r="G287" s="863" t="str">
        <f t="shared" si="341"/>
        <v/>
      </c>
      <c r="H287" s="864" t="str">
        <f t="shared" si="342"/>
        <v/>
      </c>
      <c r="I287" s="865" t="str">
        <f t="shared" si="342"/>
        <v/>
      </c>
      <c r="J287" s="863" t="str">
        <f t="shared" si="343"/>
        <v/>
      </c>
      <c r="K287" s="866" t="str">
        <f t="shared" si="344"/>
        <v/>
      </c>
      <c r="L287" s="1293"/>
      <c r="M287" s="847">
        <v>0</v>
      </c>
      <c r="N287" s="1521">
        <v>0</v>
      </c>
      <c r="O287" s="1522" t="str">
        <f t="shared" si="346"/>
        <v/>
      </c>
      <c r="P287" s="1305">
        <f t="shared" si="347"/>
        <v>0</v>
      </c>
      <c r="Q287" s="1304">
        <v>0</v>
      </c>
      <c r="R287" s="392" t="str">
        <f t="shared" si="348"/>
        <v/>
      </c>
      <c r="S287" s="392" t="str">
        <f t="shared" si="349"/>
        <v/>
      </c>
      <c r="T287" s="393">
        <f>ROUND(IF(K287="",0,+Q287/1659*(AB287*12*(1+tab!$D$111+tab!$D$112)-tab!$D$110)*tab!$D$108),-1)</f>
        <v>0</v>
      </c>
      <c r="U287" s="1321" t="str">
        <f t="shared" si="350"/>
        <v/>
      </c>
      <c r="V287" s="376"/>
      <c r="W287" s="952"/>
      <c r="AB287" s="1314" t="str">
        <f t="shared" si="345"/>
        <v/>
      </c>
      <c r="AC287" s="1374">
        <f>tab!$D$101</f>
        <v>0.53</v>
      </c>
      <c r="AD287" s="1313" t="e">
        <f t="shared" si="351"/>
        <v>#VALUE!</v>
      </c>
      <c r="AE287" s="1313" t="e">
        <f t="shared" si="352"/>
        <v>#VALUE!</v>
      </c>
      <c r="AF287" s="1313" t="e">
        <f t="shared" si="353"/>
        <v>#VALUE!</v>
      </c>
      <c r="AG287" s="14">
        <f t="shared" si="354"/>
        <v>0</v>
      </c>
      <c r="AH287" s="1315" t="str">
        <f t="shared" si="355"/>
        <v/>
      </c>
      <c r="AI287" s="14">
        <f t="shared" si="356"/>
        <v>0</v>
      </c>
      <c r="AJ287" s="1316">
        <f t="shared" si="357"/>
        <v>0.5</v>
      </c>
      <c r="AK287" s="6">
        <f t="shared" si="358"/>
        <v>0</v>
      </c>
      <c r="AL287" s="1317">
        <f t="shared" si="359"/>
        <v>0</v>
      </c>
    </row>
    <row r="288" spans="3:38" ht="12.75" customHeight="1" x14ac:dyDescent="0.2">
      <c r="C288" s="35"/>
      <c r="D288" s="862" t="str">
        <f t="shared" si="340"/>
        <v/>
      </c>
      <c r="E288" s="862" t="str">
        <f t="shared" si="340"/>
        <v/>
      </c>
      <c r="F288" s="862" t="str">
        <f t="shared" si="340"/>
        <v/>
      </c>
      <c r="G288" s="863" t="str">
        <f t="shared" si="341"/>
        <v/>
      </c>
      <c r="H288" s="864" t="str">
        <f t="shared" si="342"/>
        <v/>
      </c>
      <c r="I288" s="865" t="str">
        <f t="shared" si="342"/>
        <v/>
      </c>
      <c r="J288" s="863" t="str">
        <f t="shared" si="343"/>
        <v/>
      </c>
      <c r="K288" s="866" t="str">
        <f t="shared" si="344"/>
        <v/>
      </c>
      <c r="L288" s="1293"/>
      <c r="M288" s="847">
        <v>0</v>
      </c>
      <c r="N288" s="1521">
        <v>0</v>
      </c>
      <c r="O288" s="1522" t="str">
        <f t="shared" si="346"/>
        <v/>
      </c>
      <c r="P288" s="1305">
        <f t="shared" si="347"/>
        <v>0</v>
      </c>
      <c r="Q288" s="1304">
        <v>0</v>
      </c>
      <c r="R288" s="392" t="str">
        <f t="shared" si="348"/>
        <v/>
      </c>
      <c r="S288" s="392" t="str">
        <f t="shared" si="349"/>
        <v/>
      </c>
      <c r="T288" s="393">
        <f>ROUND(IF(K288="",0,+Q288/1659*(AB288*12*(1+tab!$D$111+tab!$D$112)-tab!$D$110)*tab!$D$108),-1)</f>
        <v>0</v>
      </c>
      <c r="U288" s="1321" t="str">
        <f t="shared" si="350"/>
        <v/>
      </c>
      <c r="V288" s="376"/>
      <c r="W288" s="952"/>
      <c r="AB288" s="1314" t="str">
        <f t="shared" si="345"/>
        <v/>
      </c>
      <c r="AC288" s="1374">
        <f>tab!$D$101</f>
        <v>0.53</v>
      </c>
      <c r="AD288" s="1313" t="e">
        <f t="shared" si="351"/>
        <v>#VALUE!</v>
      </c>
      <c r="AE288" s="1313" t="e">
        <f t="shared" si="352"/>
        <v>#VALUE!</v>
      </c>
      <c r="AF288" s="1313" t="e">
        <f t="shared" si="353"/>
        <v>#VALUE!</v>
      </c>
      <c r="AG288" s="14">
        <f t="shared" si="354"/>
        <v>0</v>
      </c>
      <c r="AH288" s="1315" t="str">
        <f t="shared" si="355"/>
        <v/>
      </c>
      <c r="AI288" s="14">
        <f t="shared" si="356"/>
        <v>0</v>
      </c>
      <c r="AJ288" s="1316">
        <f t="shared" si="357"/>
        <v>0.5</v>
      </c>
      <c r="AK288" s="6">
        <f t="shared" si="358"/>
        <v>0</v>
      </c>
      <c r="AL288" s="1317">
        <f t="shared" si="359"/>
        <v>0</v>
      </c>
    </row>
    <row r="289" spans="3:38" ht="12.75" customHeight="1" x14ac:dyDescent="0.2">
      <c r="C289" s="35"/>
      <c r="D289" s="862" t="str">
        <f t="shared" si="340"/>
        <v/>
      </c>
      <c r="E289" s="862" t="str">
        <f t="shared" si="340"/>
        <v/>
      </c>
      <c r="F289" s="862" t="str">
        <f t="shared" si="340"/>
        <v/>
      </c>
      <c r="G289" s="863" t="str">
        <f t="shared" si="341"/>
        <v/>
      </c>
      <c r="H289" s="864" t="str">
        <f t="shared" si="342"/>
        <v/>
      </c>
      <c r="I289" s="865" t="str">
        <f t="shared" si="342"/>
        <v/>
      </c>
      <c r="J289" s="863" t="str">
        <f t="shared" si="343"/>
        <v/>
      </c>
      <c r="K289" s="866" t="str">
        <f t="shared" si="344"/>
        <v/>
      </c>
      <c r="L289" s="1293"/>
      <c r="M289" s="847">
        <v>0</v>
      </c>
      <c r="N289" s="1521">
        <v>0</v>
      </c>
      <c r="O289" s="1522" t="str">
        <f t="shared" si="346"/>
        <v/>
      </c>
      <c r="P289" s="1305">
        <f t="shared" si="347"/>
        <v>0</v>
      </c>
      <c r="Q289" s="1304">
        <v>0</v>
      </c>
      <c r="R289" s="392" t="str">
        <f t="shared" si="348"/>
        <v/>
      </c>
      <c r="S289" s="392" t="str">
        <f t="shared" si="349"/>
        <v/>
      </c>
      <c r="T289" s="393">
        <f>ROUND(IF(K289="",0,+Q289/1659*(AB289*12*(1+tab!$D$111+tab!$D$112)-tab!$D$110)*tab!$D$108),-1)</f>
        <v>0</v>
      </c>
      <c r="U289" s="1321" t="str">
        <f t="shared" si="350"/>
        <v/>
      </c>
      <c r="V289" s="376"/>
      <c r="W289" s="952"/>
      <c r="AB289" s="1314" t="str">
        <f t="shared" si="345"/>
        <v/>
      </c>
      <c r="AC289" s="1374">
        <f>tab!$D$101</f>
        <v>0.53</v>
      </c>
      <c r="AD289" s="1313" t="e">
        <f t="shared" si="351"/>
        <v>#VALUE!</v>
      </c>
      <c r="AE289" s="1313" t="e">
        <f t="shared" si="352"/>
        <v>#VALUE!</v>
      </c>
      <c r="AF289" s="1313" t="e">
        <f t="shared" si="353"/>
        <v>#VALUE!</v>
      </c>
      <c r="AG289" s="14">
        <f t="shared" si="354"/>
        <v>0</v>
      </c>
      <c r="AH289" s="1315" t="str">
        <f t="shared" si="355"/>
        <v/>
      </c>
      <c r="AI289" s="14">
        <f t="shared" si="356"/>
        <v>0</v>
      </c>
      <c r="AJ289" s="1316">
        <f t="shared" si="357"/>
        <v>0.5</v>
      </c>
      <c r="AK289" s="6">
        <f t="shared" si="358"/>
        <v>0</v>
      </c>
      <c r="AL289" s="1317">
        <f t="shared" si="359"/>
        <v>0</v>
      </c>
    </row>
    <row r="290" spans="3:38" ht="12.75" customHeight="1" x14ac:dyDescent="0.2">
      <c r="C290" s="35"/>
      <c r="D290" s="862" t="str">
        <f t="shared" si="340"/>
        <v/>
      </c>
      <c r="E290" s="862" t="str">
        <f t="shared" si="340"/>
        <v/>
      </c>
      <c r="F290" s="862" t="str">
        <f t="shared" si="340"/>
        <v/>
      </c>
      <c r="G290" s="863" t="str">
        <f t="shared" si="341"/>
        <v/>
      </c>
      <c r="H290" s="864" t="str">
        <f t="shared" si="342"/>
        <v/>
      </c>
      <c r="I290" s="865" t="str">
        <f t="shared" si="342"/>
        <v/>
      </c>
      <c r="J290" s="863" t="str">
        <f t="shared" si="343"/>
        <v/>
      </c>
      <c r="K290" s="866" t="str">
        <f t="shared" si="344"/>
        <v/>
      </c>
      <c r="L290" s="1293"/>
      <c r="M290" s="847">
        <v>0</v>
      </c>
      <c r="N290" s="1521">
        <v>0</v>
      </c>
      <c r="O290" s="1522" t="str">
        <f t="shared" si="346"/>
        <v/>
      </c>
      <c r="P290" s="1305">
        <f t="shared" si="347"/>
        <v>0</v>
      </c>
      <c r="Q290" s="1304">
        <v>0</v>
      </c>
      <c r="R290" s="392" t="str">
        <f t="shared" si="348"/>
        <v/>
      </c>
      <c r="S290" s="392" t="str">
        <f t="shared" si="349"/>
        <v/>
      </c>
      <c r="T290" s="393">
        <f>ROUND(IF(K290="",0,+Q290/1659*(AB290*12*(1+tab!$D$111+tab!$D$112)-tab!$D$110)*tab!$D$108),-1)</f>
        <v>0</v>
      </c>
      <c r="U290" s="1321" t="str">
        <f t="shared" si="350"/>
        <v/>
      </c>
      <c r="V290" s="376"/>
      <c r="W290" s="952"/>
      <c r="AB290" s="1314" t="str">
        <f t="shared" si="345"/>
        <v/>
      </c>
      <c r="AC290" s="1374">
        <f>tab!$D$101</f>
        <v>0.53</v>
      </c>
      <c r="AD290" s="1313" t="e">
        <f t="shared" si="351"/>
        <v>#VALUE!</v>
      </c>
      <c r="AE290" s="1313" t="e">
        <f t="shared" si="352"/>
        <v>#VALUE!</v>
      </c>
      <c r="AF290" s="1313" t="e">
        <f t="shared" si="353"/>
        <v>#VALUE!</v>
      </c>
      <c r="AG290" s="14">
        <f t="shared" si="354"/>
        <v>0</v>
      </c>
      <c r="AH290" s="1315" t="str">
        <f t="shared" si="355"/>
        <v/>
      </c>
      <c r="AI290" s="14">
        <f t="shared" si="356"/>
        <v>0</v>
      </c>
      <c r="AJ290" s="1316">
        <f t="shared" si="357"/>
        <v>0.5</v>
      </c>
      <c r="AK290" s="6">
        <f t="shared" si="358"/>
        <v>0</v>
      </c>
      <c r="AL290" s="1317">
        <f t="shared" si="359"/>
        <v>0</v>
      </c>
    </row>
    <row r="291" spans="3:38" x14ac:dyDescent="0.2">
      <c r="C291" s="35"/>
      <c r="D291" s="377"/>
      <c r="E291" s="377"/>
      <c r="F291" s="377"/>
      <c r="G291" s="192"/>
      <c r="H291" s="378"/>
      <c r="I291" s="192"/>
      <c r="J291" s="379"/>
      <c r="K291" s="394">
        <f>SUM(K271:K290)</f>
        <v>0</v>
      </c>
      <c r="L291" s="1284"/>
      <c r="M291" s="1303">
        <f>SUM(M271:M290)</f>
        <v>0</v>
      </c>
      <c r="N291" s="1303">
        <f t="shared" ref="N291" si="360">SUM(N271:N290)</f>
        <v>0</v>
      </c>
      <c r="O291" s="1303">
        <f t="shared" ref="O291" si="361">SUM(O271:O290)</f>
        <v>0</v>
      </c>
      <c r="P291" s="1303">
        <f t="shared" ref="P291" si="362">SUM(P271:P290)</f>
        <v>0</v>
      </c>
      <c r="Q291" s="1303">
        <f t="shared" ref="Q291" si="363">SUM(Q271:Q290)</f>
        <v>0</v>
      </c>
      <c r="R291" s="1319">
        <f t="shared" ref="R291" si="364">SUM(R271:R290)</f>
        <v>0</v>
      </c>
      <c r="S291" s="1319">
        <f t="shared" ref="S291" si="365">SUM(S271:S290)</f>
        <v>0</v>
      </c>
      <c r="T291" s="1319">
        <f t="shared" ref="T291" si="366">SUM(T271:T290)</f>
        <v>0</v>
      </c>
      <c r="U291" s="1320">
        <f t="shared" ref="U291" si="367">SUM(U271:U290)</f>
        <v>0</v>
      </c>
      <c r="V291" s="361"/>
      <c r="W291" s="952"/>
      <c r="AB291" s="1314">
        <f>SUM(AB271:AB290)</f>
        <v>0</v>
      </c>
      <c r="AL291" s="1317">
        <f>SUM(AL271:AL290)</f>
        <v>0</v>
      </c>
    </row>
    <row r="292" spans="3:38" x14ac:dyDescent="0.2">
      <c r="M292" s="362"/>
      <c r="N292" s="361"/>
      <c r="O292" s="361"/>
      <c r="P292" s="380"/>
      <c r="Q292" s="380"/>
      <c r="R292" s="380"/>
      <c r="S292" s="380"/>
      <c r="T292" s="365"/>
      <c r="U292" s="381"/>
      <c r="V292" s="361"/>
      <c r="W292" s="952"/>
    </row>
    <row r="297" spans="3:38" x14ac:dyDescent="0.2">
      <c r="D297" s="645" t="s">
        <v>110</v>
      </c>
    </row>
    <row r="298" spans="3:38" x14ac:dyDescent="0.2">
      <c r="D298" s="645" t="s">
        <v>111</v>
      </c>
    </row>
    <row r="299" spans="3:38" x14ac:dyDescent="0.2">
      <c r="D299" s="645" t="s">
        <v>112</v>
      </c>
    </row>
    <row r="300" spans="3:38" x14ac:dyDescent="0.2">
      <c r="D300" s="645" t="s">
        <v>113</v>
      </c>
    </row>
    <row r="301" spans="3:38" x14ac:dyDescent="0.2">
      <c r="D301" s="645">
        <v>1</v>
      </c>
    </row>
    <row r="302" spans="3:38" x14ac:dyDescent="0.2">
      <c r="D302" s="645">
        <v>2</v>
      </c>
    </row>
    <row r="303" spans="3:38" x14ac:dyDescent="0.2">
      <c r="D303" s="645">
        <v>3</v>
      </c>
    </row>
    <row r="304" spans="3:38" x14ac:dyDescent="0.2">
      <c r="D304" s="645">
        <v>4</v>
      </c>
    </row>
    <row r="305" spans="4:4" x14ac:dyDescent="0.2">
      <c r="D305" s="645">
        <v>5</v>
      </c>
    </row>
    <row r="306" spans="4:4" x14ac:dyDescent="0.2">
      <c r="D306" s="645">
        <v>6</v>
      </c>
    </row>
    <row r="307" spans="4:4" x14ac:dyDescent="0.2">
      <c r="D307" s="645">
        <v>7</v>
      </c>
    </row>
    <row r="308" spans="4:4" x14ac:dyDescent="0.2">
      <c r="D308" s="645">
        <v>8</v>
      </c>
    </row>
    <row r="309" spans="4:4" x14ac:dyDescent="0.2">
      <c r="D309" s="645">
        <v>9</v>
      </c>
    </row>
    <row r="310" spans="4:4" x14ac:dyDescent="0.2">
      <c r="D310" s="645">
        <v>10</v>
      </c>
    </row>
    <row r="311" spans="4:4" x14ac:dyDescent="0.2">
      <c r="D311" s="645">
        <v>11</v>
      </c>
    </row>
    <row r="312" spans="4:4" x14ac:dyDescent="0.2">
      <c r="D312" s="645">
        <v>12</v>
      </c>
    </row>
    <row r="313" spans="4:4" x14ac:dyDescent="0.2">
      <c r="D313" s="645">
        <v>13</v>
      </c>
    </row>
    <row r="314" spans="4:4" x14ac:dyDescent="0.2">
      <c r="D314" s="645">
        <v>14</v>
      </c>
    </row>
    <row r="315" spans="4:4" x14ac:dyDescent="0.2">
      <c r="D315" s="645">
        <v>15</v>
      </c>
    </row>
    <row r="316" spans="4:4" x14ac:dyDescent="0.2">
      <c r="D316" s="645">
        <v>16</v>
      </c>
    </row>
    <row r="317" spans="4:4" x14ac:dyDescent="0.2">
      <c r="D317" s="645">
        <v>17</v>
      </c>
    </row>
    <row r="318" spans="4:4" x14ac:dyDescent="0.2">
      <c r="D318" s="645" t="s">
        <v>142</v>
      </c>
    </row>
    <row r="319" spans="4:4" x14ac:dyDescent="0.2">
      <c r="D319" s="645" t="s">
        <v>143</v>
      </c>
    </row>
    <row r="320" spans="4:4" x14ac:dyDescent="0.2">
      <c r="D320" s="645" t="s">
        <v>144</v>
      </c>
    </row>
    <row r="321" spans="4:39" x14ac:dyDescent="0.2">
      <c r="D321" s="645" t="s">
        <v>419</v>
      </c>
    </row>
    <row r="323" spans="4:39" x14ac:dyDescent="0.2">
      <c r="D323" s="111" t="s">
        <v>569</v>
      </c>
      <c r="E323" s="373" t="s">
        <v>853</v>
      </c>
      <c r="F323" s="71" t="s">
        <v>161</v>
      </c>
      <c r="G323" s="222" t="s">
        <v>852</v>
      </c>
      <c r="H323" s="373" t="s">
        <v>303</v>
      </c>
      <c r="I323" s="387"/>
      <c r="J323" s="382"/>
      <c r="K323" s="225"/>
      <c r="L323" s="1283"/>
      <c r="M323" s="6"/>
      <c r="N323" s="228"/>
      <c r="O323" s="6"/>
      <c r="S323" s="229"/>
      <c r="T323" s="230"/>
      <c r="U323" s="231"/>
      <c r="AB323" s="166"/>
      <c r="AC323" s="232"/>
      <c r="AD323" s="6"/>
      <c r="AK323" s="166"/>
      <c r="AL323" s="232"/>
      <c r="AM323" s="6"/>
    </row>
    <row r="324" spans="4:39" s="110" customFormat="1" x14ac:dyDescent="0.2">
      <c r="D324" s="911">
        <v>2014</v>
      </c>
      <c r="E324" s="1381">
        <f>AB35*12</f>
        <v>0</v>
      </c>
      <c r="F324" s="373">
        <f>AB35*AC$13*12</f>
        <v>0</v>
      </c>
      <c r="G324" s="373">
        <f>+S35</f>
        <v>0</v>
      </c>
      <c r="H324" s="373">
        <f>+AL35</f>
        <v>0</v>
      </c>
      <c r="I324" s="374"/>
      <c r="J324" s="375"/>
      <c r="K324" s="908"/>
      <c r="L324" s="1297"/>
      <c r="N324" s="909"/>
      <c r="S324" s="229"/>
      <c r="T324" s="910"/>
      <c r="U324" s="231"/>
      <c r="AB324" s="113"/>
      <c r="AC324" s="450"/>
      <c r="AK324" s="113"/>
      <c r="AL324" s="450"/>
    </row>
    <row r="325" spans="4:39" x14ac:dyDescent="0.2">
      <c r="D325" s="911">
        <v>2015</v>
      </c>
      <c r="E325" s="1381">
        <f>AB67*12</f>
        <v>0</v>
      </c>
      <c r="F325" s="907">
        <f>AB67*AC$45*12</f>
        <v>0</v>
      </c>
      <c r="G325" s="907">
        <f>+S67</f>
        <v>0</v>
      </c>
      <c r="H325" s="373">
        <f>+AL67</f>
        <v>0</v>
      </c>
    </row>
    <row r="326" spans="4:39" x14ac:dyDescent="0.2">
      <c r="D326" s="911">
        <v>2016</v>
      </c>
      <c r="E326" s="1381">
        <f>AB99*12</f>
        <v>0</v>
      </c>
      <c r="F326" s="907">
        <f>AB99*AC$77*12</f>
        <v>0</v>
      </c>
      <c r="G326" s="907">
        <f>+S99</f>
        <v>0</v>
      </c>
      <c r="H326" s="373">
        <f>+AL99</f>
        <v>0</v>
      </c>
    </row>
    <row r="327" spans="4:39" x14ac:dyDescent="0.2">
      <c r="D327" s="911">
        <v>2017</v>
      </c>
      <c r="E327" s="1381">
        <f>AB131*12</f>
        <v>0</v>
      </c>
      <c r="F327" s="907">
        <f>AB131*AC$109*12</f>
        <v>0</v>
      </c>
      <c r="G327" s="907">
        <f>+S131</f>
        <v>0</v>
      </c>
      <c r="H327" s="373">
        <f>+AL131</f>
        <v>0</v>
      </c>
    </row>
    <row r="328" spans="4:39" x14ac:dyDescent="0.2">
      <c r="D328" s="911">
        <v>2018</v>
      </c>
      <c r="E328" s="1381">
        <f>AB163*12</f>
        <v>0</v>
      </c>
      <c r="F328" s="907">
        <f>AB163*AC$141*12</f>
        <v>0</v>
      </c>
      <c r="G328" s="907">
        <f>+S163</f>
        <v>0</v>
      </c>
      <c r="H328" s="373">
        <f>+AL163</f>
        <v>0</v>
      </c>
    </row>
    <row r="329" spans="4:39" x14ac:dyDescent="0.2">
      <c r="D329" s="911">
        <v>2019</v>
      </c>
      <c r="E329" s="1381">
        <f>AB195*12</f>
        <v>0</v>
      </c>
      <c r="F329" s="907">
        <f>AB195*AC$173*12</f>
        <v>0</v>
      </c>
      <c r="G329" s="907">
        <f>+S195</f>
        <v>0</v>
      </c>
      <c r="H329" s="373">
        <f>+AL195</f>
        <v>0</v>
      </c>
    </row>
    <row r="330" spans="4:39" x14ac:dyDescent="0.2">
      <c r="D330" s="911">
        <v>2020</v>
      </c>
      <c r="E330" s="1381">
        <f>AB227*12</f>
        <v>0</v>
      </c>
      <c r="F330" s="907">
        <f>AB227*AC$205*12</f>
        <v>0</v>
      </c>
      <c r="G330" s="907">
        <f>+S227</f>
        <v>0</v>
      </c>
      <c r="H330" s="373">
        <f>+AL227</f>
        <v>0</v>
      </c>
    </row>
    <row r="331" spans="4:39" x14ac:dyDescent="0.2">
      <c r="D331" s="911">
        <v>2021</v>
      </c>
      <c r="E331" s="1381">
        <f>AB259*12</f>
        <v>0</v>
      </c>
      <c r="F331" s="907">
        <f>AB259*AC$237*12</f>
        <v>0</v>
      </c>
      <c r="G331" s="907">
        <f>+S259</f>
        <v>0</v>
      </c>
      <c r="H331" s="373">
        <f>+AL259</f>
        <v>0</v>
      </c>
    </row>
    <row r="332" spans="4:39" x14ac:dyDescent="0.2">
      <c r="D332" s="911">
        <v>2022</v>
      </c>
      <c r="E332" s="1381">
        <f>AB291*12</f>
        <v>0</v>
      </c>
      <c r="F332" s="907">
        <f>AB291*AC$269*12</f>
        <v>0</v>
      </c>
      <c r="G332" s="907">
        <f>+S291</f>
        <v>0</v>
      </c>
      <c r="H332" s="373">
        <f>+AL291</f>
        <v>0</v>
      </c>
    </row>
  </sheetData>
  <sheetProtection algorithmName="SHA-512" hashValue="RcSEB+vXB1JqMhIMDJ5yFaXNU/mPZ8IVpXP8b1ZGWVvqGWRfHyXXBtwlr3PYen8dPs4pcvGDhoVnzI7vXJVgig==" saltValue="DZLZdtWQ4eB3jJi91RfYEg==" spinCount="100000" sheet="1" objects="1" scenarios="1"/>
  <phoneticPr fontId="0" type="noConversion"/>
  <dataValidations count="2">
    <dataValidation type="list" allowBlank="1" showInputMessage="1" showErrorMessage="1" sqref="I207:I226 I111:I130 I175:I194 I143:I162 I79:I98 I239:I258 I271:I290 I47:I66">
      <formula1>D$296:D$322</formula1>
    </dataValidation>
    <dataValidation type="list" allowBlank="1" showInputMessage="1" showErrorMessage="1" sqref="I15:I34">
      <formula1>_xlnm.Criteria</formula1>
    </dataValidation>
  </dataValidations>
  <pageMargins left="0.74803149606299213" right="0.74803149606299213" top="0.98425196850393704" bottom="0.98425196850393704" header="0.51181102362204722" footer="0.51181102362204722"/>
  <pageSetup paperSize="9" scale="41" orientation="portrait" r:id="rId1"/>
  <headerFooter alignWithMargins="0">
    <oddHeader>&amp;L&amp;"Arial,Vet"&amp;9&amp;F&amp;R&amp;"Arial,Vet"&amp;9&amp;A</oddHeader>
    <oddFooter>&amp;L&amp;"Arial,Vet"&amp;9be.keizer@wxs.nl&amp;C&amp;"Arial,Vet"&amp;9pagina &amp;P&amp;R&amp;"Arial,Vet"&amp;9&amp;D</oddFooter>
  </headerFooter>
  <rowBreaks count="1" manualBreakCount="1">
    <brk id="70" min="1" max="23" man="1"/>
  </rowBreaks>
  <colBreaks count="1" manualBreakCount="1">
    <brk id="23" min="1" max="17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33</vt:i4>
      </vt:variant>
    </vt:vector>
  </HeadingPairs>
  <TitlesOfParts>
    <vt:vector size="55" baseType="lpstr">
      <vt:lpstr>toel</vt:lpstr>
      <vt:lpstr>geg LO</vt:lpstr>
      <vt:lpstr>LWOO-PRO</vt:lpstr>
      <vt:lpstr>geg ZO</vt:lpstr>
      <vt:lpstr>herbest</vt:lpstr>
      <vt:lpstr>pers</vt:lpstr>
      <vt:lpstr>overdr VSO</vt:lpstr>
      <vt:lpstr>peild VSO</vt:lpstr>
      <vt:lpstr>sal SWV</vt:lpstr>
      <vt:lpstr>mat</vt:lpstr>
      <vt:lpstr>project</vt:lpstr>
      <vt:lpstr>mip</vt:lpstr>
      <vt:lpstr>act</vt:lpstr>
      <vt:lpstr>begr</vt:lpstr>
      <vt:lpstr>bal</vt:lpstr>
      <vt:lpstr>liq</vt:lpstr>
      <vt:lpstr>ken</vt:lpstr>
      <vt:lpstr>graf</vt:lpstr>
      <vt:lpstr>tab</vt:lpstr>
      <vt:lpstr>Li O school</vt:lpstr>
      <vt:lpstr>Zw O school</vt:lpstr>
      <vt:lpstr>hlpbl</vt:lpstr>
      <vt:lpstr>act!Afdrukbereik</vt:lpstr>
      <vt:lpstr>bal!Afdrukbereik</vt:lpstr>
      <vt:lpstr>begr!Afdrukbereik</vt:lpstr>
      <vt:lpstr>'geg LO'!Afdrukbereik</vt:lpstr>
      <vt:lpstr>'geg ZO'!Afdrukbereik</vt:lpstr>
      <vt:lpstr>graf!Afdrukbereik</vt:lpstr>
      <vt:lpstr>herbest!Afdrukbereik</vt:lpstr>
      <vt:lpstr>hlpbl!Afdrukbereik</vt:lpstr>
      <vt:lpstr>ken!Afdrukbereik</vt:lpstr>
      <vt:lpstr>'Li O school'!Afdrukbereik</vt:lpstr>
      <vt:lpstr>liq!Afdrukbereik</vt:lpstr>
      <vt:lpstr>'LWOO-PRO'!Afdrukbereik</vt:lpstr>
      <vt:lpstr>mat!Afdrukbereik</vt:lpstr>
      <vt:lpstr>mip!Afdrukbereik</vt:lpstr>
      <vt:lpstr>'overdr VSO'!Afdrukbereik</vt:lpstr>
      <vt:lpstr>'peild VSO'!Afdrukbereik</vt:lpstr>
      <vt:lpstr>pers!Afdrukbereik</vt:lpstr>
      <vt:lpstr>project!Afdrukbereik</vt:lpstr>
      <vt:lpstr>'sal SWV'!Afdrukbereik</vt:lpstr>
      <vt:lpstr>toel!Afdrukbereik</vt:lpstr>
      <vt:lpstr>'Zw O school'!Afdrukbereik</vt:lpstr>
      <vt:lpstr>Afdrukbereik</vt:lpstr>
      <vt:lpstr>basisbedragMat</vt:lpstr>
      <vt:lpstr>basisbedragPers</vt:lpstr>
      <vt:lpstr>categorieMatVSO</vt:lpstr>
      <vt:lpstr>categoriePersVSO</vt:lpstr>
      <vt:lpstr>'sal SWV'!Criteria</vt:lpstr>
      <vt:lpstr>rugzakpersLWOOPRO1415</vt:lpstr>
      <vt:lpstr>rugzakpersOverigVO1415</vt:lpstr>
      <vt:lpstr>tabelsalaris2014VOb</vt:lpstr>
      <vt:lpstr>tabelsalaris2015VO</vt:lpstr>
      <vt:lpstr>tabelsalaris2016VO</vt:lpstr>
      <vt:lpstr>Verhoudingstabel_LB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2012-11-10T17:08:44Z</dcterms:created>
  <dcterms:modified xsi:type="dcterms:W3CDTF">2016-06-04T21:01:06Z</dcterms:modified>
</cp:coreProperties>
</file>