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bbe\Documents\Instrumenten\toolbox 2020\po\"/>
    </mc:Choice>
  </mc:AlternateContent>
  <bookViews>
    <workbookView xWindow="11460" yWindow="0" windowWidth="7650" windowHeight="9255" tabRatio="768"/>
  </bookViews>
  <sheets>
    <sheet name="Toelichting" sheetId="10" r:id="rId1"/>
    <sheet name="Werkgeverslasten" sheetId="1" r:id="rId2"/>
    <sheet name="Ouderschapsverlof" sheetId="9" r:id="rId3"/>
    <sheet name="Functiedifferentiatie" sheetId="8" r:id="rId4"/>
    <sheet name="Extra periodieken" sheetId="7" r:id="rId5"/>
    <sheet name="tabellen" sheetId="3" r:id="rId6"/>
  </sheets>
  <definedNames>
    <definedName name="_xlnm._FilterDatabase" localSheetId="1" hidden="1">Werkgeverslasten!#REF!</definedName>
    <definedName name="_xlnm.Print_Area" localSheetId="4">'Extra periodieken'!$B$2:$J$51</definedName>
    <definedName name="_xlnm.Print_Area" localSheetId="3">Functiedifferentiatie!$B$2:$J$52</definedName>
    <definedName name="_xlnm.Print_Area" localSheetId="2">Ouderschapsverlof!$B$2:$L$58</definedName>
    <definedName name="_xlnm.Print_Area" localSheetId="5">tabellen!$A$105:$H$164</definedName>
    <definedName name="_xlnm.Print_Area" localSheetId="0">Toelichting!$B$2:$P$180</definedName>
    <definedName name="_xlnm.Print_Area" localSheetId="1">Werkgeverslasten!$B$2:$O$80</definedName>
    <definedName name="eindejaarsuitkering_OOP">tabellen!$C$145:$D$148</definedName>
    <definedName name="premies">tabellen!$B$107:$G$118</definedName>
    <definedName name="salaris2019">tabellen!$A$7:$V$48</definedName>
    <definedName name="salaris2020">tabellen!$A$52:$V$103</definedName>
    <definedName name="uitlooptoeslag">tabellen!$B$130:$C$133</definedName>
  </definedNames>
  <calcPr calcId="152511"/>
</workbook>
</file>

<file path=xl/calcChain.xml><?xml version="1.0" encoding="utf-8"?>
<calcChain xmlns="http://schemas.openxmlformats.org/spreadsheetml/2006/main">
  <c r="B89" i="3" l="1"/>
  <c r="B90" i="3"/>
  <c r="C88" i="3"/>
  <c r="B88" i="3"/>
  <c r="I25" i="1" l="1"/>
  <c r="I4" i="10" l="1"/>
  <c r="V103" i="3"/>
  <c r="V102" i="3"/>
  <c r="V101" i="3"/>
  <c r="V100" i="3"/>
  <c r="V99" i="3"/>
  <c r="V98" i="3"/>
  <c r="V97" i="3"/>
  <c r="V96" i="3"/>
  <c r="V95" i="3"/>
  <c r="V94" i="3"/>
  <c r="V93" i="3"/>
  <c r="V92" i="3"/>
  <c r="V91" i="3"/>
  <c r="V90" i="3"/>
  <c r="V89" i="3"/>
  <c r="V88" i="3"/>
  <c r="V87" i="3"/>
  <c r="V86" i="3"/>
  <c r="V85" i="3"/>
  <c r="V84" i="3"/>
  <c r="V83" i="3"/>
  <c r="B82" i="3"/>
  <c r="V82" i="3" s="1"/>
  <c r="B81" i="3"/>
  <c r="V81" i="3" s="1"/>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J13" i="1" l="1"/>
  <c r="I27" i="1"/>
  <c r="I20" i="1"/>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G113" i="3"/>
  <c r="G112" i="3"/>
  <c r="G111" i="3"/>
  <c r="G23" i="1" l="1"/>
  <c r="I23" i="1" s="1"/>
  <c r="H113" i="3" l="1"/>
  <c r="H112" i="3"/>
  <c r="H111" i="3"/>
  <c r="H110" i="3"/>
  <c r="I49" i="1" l="1"/>
  <c r="F43" i="8" l="1"/>
  <c r="H37" i="9" l="1"/>
  <c r="F26" i="7"/>
  <c r="C6" i="8" l="1"/>
  <c r="O30" i="8" l="1"/>
  <c r="P30" i="8"/>
  <c r="M30"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4" i="8"/>
  <c r="H117" i="10" l="1"/>
  <c r="H144" i="10" s="1"/>
  <c r="H155" i="10" s="1"/>
  <c r="C119" i="3" l="1"/>
  <c r="G22" i="1"/>
  <c r="G24" i="1"/>
  <c r="I24" i="1" s="1"/>
  <c r="D119" i="3"/>
  <c r="F32" i="8"/>
  <c r="F15" i="7"/>
  <c r="F17" i="7" s="1"/>
  <c r="G72" i="1"/>
  <c r="G73" i="1"/>
  <c r="G74" i="1"/>
  <c r="G75" i="1"/>
  <c r="I5" i="1"/>
  <c r="F4" i="7"/>
  <c r="F4" i="8"/>
  <c r="G4" i="9"/>
  <c r="G4" i="1"/>
  <c r="F4" i="1"/>
  <c r="H30" i="9"/>
  <c r="H33" i="9" s="1"/>
  <c r="O56" i="7"/>
  <c r="H50" i="9"/>
  <c r="H52" i="9" s="1"/>
  <c r="H54" i="9" s="1"/>
  <c r="I25" i="9"/>
  <c r="I27" i="9" s="1"/>
  <c r="F108" i="3"/>
  <c r="F107" i="3"/>
  <c r="P71" i="7"/>
  <c r="N56" i="7"/>
  <c r="P56" i="7"/>
  <c r="O57" i="7"/>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O72" i="7"/>
  <c r="N72" i="7"/>
  <c r="P72" i="7"/>
  <c r="O73" i="7"/>
  <c r="N73" i="7"/>
  <c r="P73" i="7"/>
  <c r="O74" i="7"/>
  <c r="N74" i="7"/>
  <c r="P74" i="7"/>
  <c r="O75" i="7"/>
  <c r="N75" i="7"/>
  <c r="P75" i="7"/>
  <c r="F41" i="7"/>
  <c r="F44" i="7" s="1"/>
  <c r="F47" i="7" s="1"/>
  <c r="F45" i="8"/>
  <c r="S36" i="8" s="1"/>
  <c r="M4" i="8"/>
  <c r="P4" i="8"/>
  <c r="O4" i="8"/>
  <c r="M5" i="8"/>
  <c r="P5" i="8"/>
  <c r="O5" i="8"/>
  <c r="M6" i="8"/>
  <c r="P6" i="8"/>
  <c r="O6" i="8"/>
  <c r="M7" i="8"/>
  <c r="P7" i="8"/>
  <c r="O7" i="8"/>
  <c r="M8" i="8"/>
  <c r="P8" i="8"/>
  <c r="O8" i="8"/>
  <c r="M9" i="8"/>
  <c r="P9" i="8"/>
  <c r="O9" i="8"/>
  <c r="M10" i="8"/>
  <c r="P10" i="8"/>
  <c r="O10" i="8"/>
  <c r="M11" i="8"/>
  <c r="P11" i="8"/>
  <c r="O11" i="8"/>
  <c r="M12" i="8"/>
  <c r="P12" i="8"/>
  <c r="O12" i="8"/>
  <c r="M13" i="8"/>
  <c r="P13" i="8"/>
  <c r="O13" i="8"/>
  <c r="M14" i="8"/>
  <c r="P14" i="8"/>
  <c r="O14" i="8"/>
  <c r="M15" i="8"/>
  <c r="P15" i="8"/>
  <c r="O15" i="8"/>
  <c r="M16" i="8"/>
  <c r="P16" i="8"/>
  <c r="O16" i="8"/>
  <c r="M17" i="8"/>
  <c r="P17" i="8"/>
  <c r="O17" i="8"/>
  <c r="M18" i="8"/>
  <c r="P18" i="8"/>
  <c r="O18" i="8"/>
  <c r="M19" i="8"/>
  <c r="P19" i="8"/>
  <c r="O19" i="8"/>
  <c r="M20" i="8"/>
  <c r="P20" i="8"/>
  <c r="O20" i="8"/>
  <c r="M21" i="8"/>
  <c r="P21" i="8"/>
  <c r="O21" i="8"/>
  <c r="M22" i="8"/>
  <c r="P22" i="8"/>
  <c r="O22" i="8"/>
  <c r="M23" i="8"/>
  <c r="P23" i="8"/>
  <c r="O23" i="8"/>
  <c r="M24" i="8"/>
  <c r="P24" i="8"/>
  <c r="O24" i="8"/>
  <c r="M25" i="8"/>
  <c r="P25" i="8"/>
  <c r="O25" i="8"/>
  <c r="M26" i="8"/>
  <c r="P26" i="8"/>
  <c r="O26" i="8"/>
  <c r="M27" i="8"/>
  <c r="P27" i="8"/>
  <c r="O27" i="8"/>
  <c r="M28" i="8"/>
  <c r="P28" i="8"/>
  <c r="O28" i="8"/>
  <c r="M29" i="8"/>
  <c r="P29" i="8"/>
  <c r="M31" i="8"/>
  <c r="P31" i="8"/>
  <c r="M32" i="8"/>
  <c r="P32" i="8"/>
  <c r="M33" i="8"/>
  <c r="P33" i="8"/>
  <c r="M34" i="8"/>
  <c r="P34" i="8"/>
  <c r="M35" i="8"/>
  <c r="P35" i="8"/>
  <c r="M36" i="8"/>
  <c r="P36" i="8"/>
  <c r="M37" i="8"/>
  <c r="P37" i="8"/>
  <c r="M38" i="8"/>
  <c r="P38" i="8"/>
  <c r="O29" i="8"/>
  <c r="O31" i="8"/>
  <c r="O32" i="8"/>
  <c r="O33" i="8"/>
  <c r="O34" i="8"/>
  <c r="O35" i="8"/>
  <c r="O36" i="8"/>
  <c r="O37" i="8"/>
  <c r="O38" i="8"/>
  <c r="M39" i="8"/>
  <c r="O39" i="8"/>
  <c r="P39" i="8"/>
  <c r="M40" i="8"/>
  <c r="O40" i="8"/>
  <c r="P40" i="8"/>
  <c r="M41" i="8"/>
  <c r="O41" i="8"/>
  <c r="P41" i="8"/>
  <c r="M42" i="8"/>
  <c r="O42" i="8"/>
  <c r="P42" i="8"/>
  <c r="M43" i="8"/>
  <c r="O43" i="8"/>
  <c r="P43" i="8"/>
  <c r="M44" i="8"/>
  <c r="O44" i="8"/>
  <c r="P44" i="8"/>
  <c r="M45" i="8"/>
  <c r="O45" i="8"/>
  <c r="P45" i="8"/>
  <c r="M46" i="8"/>
  <c r="O46" i="8"/>
  <c r="P46" i="8"/>
  <c r="M47" i="8"/>
  <c r="O47" i="8"/>
  <c r="P47" i="8"/>
  <c r="M48" i="8"/>
  <c r="O48" i="8"/>
  <c r="P48" i="8"/>
  <c r="M49" i="8"/>
  <c r="O49" i="8"/>
  <c r="P49" i="8"/>
  <c r="H15" i="9"/>
  <c r="H17" i="9" s="1"/>
  <c r="J30" i="9" s="1"/>
  <c r="H25" i="9"/>
  <c r="I28" i="9"/>
  <c r="S27" i="8" l="1"/>
  <c r="R35" i="8"/>
  <c r="S42" i="8"/>
  <c r="S25" i="8"/>
  <c r="S43" i="8"/>
  <c r="R48" i="8"/>
  <c r="S31" i="8"/>
  <c r="S29" i="8"/>
  <c r="R43" i="8"/>
  <c r="U43" i="8" s="1"/>
  <c r="H32" i="9"/>
  <c r="H34" i="9" s="1"/>
  <c r="I15" i="1"/>
  <c r="I17" i="1" s="1"/>
  <c r="F18" i="8"/>
  <c r="F36" i="8"/>
  <c r="S33" i="8"/>
  <c r="R42" i="8"/>
  <c r="R32" i="8"/>
  <c r="R38" i="8"/>
  <c r="R27" i="8"/>
  <c r="R47" i="8"/>
  <c r="S30" i="8"/>
  <c r="R30" i="8"/>
  <c r="J10" i="1"/>
  <c r="H14" i="7"/>
  <c r="R69" i="7" s="1"/>
  <c r="H27" i="9"/>
  <c r="E119" i="3"/>
  <c r="M10" i="1"/>
  <c r="L10" i="1"/>
  <c r="J33" i="9"/>
  <c r="R26" i="8"/>
  <c r="S32" i="8"/>
  <c r="S35" i="8"/>
  <c r="U35" i="8" s="1"/>
  <c r="S37" i="8"/>
  <c r="S40" i="8"/>
  <c r="S44" i="8"/>
  <c r="S48" i="8"/>
  <c r="U48" i="8" s="1"/>
  <c r="R49" i="8"/>
  <c r="S47" i="8"/>
  <c r="R45" i="8"/>
  <c r="R41" i="8"/>
  <c r="R29" i="8"/>
  <c r="R25" i="8"/>
  <c r="S45" i="8"/>
  <c r="S39" i="8"/>
  <c r="R37" i="8"/>
  <c r="U37" i="8" s="1"/>
  <c r="R36" i="8"/>
  <c r="U36" i="8" s="1"/>
  <c r="R34" i="8"/>
  <c r="R33" i="8"/>
  <c r="R31" i="8"/>
  <c r="S28" i="8"/>
  <c r="R46" i="8"/>
  <c r="R40" i="8"/>
  <c r="R28" i="8"/>
  <c r="R44" i="8"/>
  <c r="S26" i="8"/>
  <c r="S41" i="8"/>
  <c r="S49" i="8"/>
  <c r="R39" i="8"/>
  <c r="S46" i="8"/>
  <c r="S38" i="8"/>
  <c r="S34" i="8"/>
  <c r="I26" i="1" l="1"/>
  <c r="I28" i="1"/>
  <c r="I21" i="1"/>
  <c r="I48" i="1" s="1"/>
  <c r="J48" i="1" s="1"/>
  <c r="I22" i="1"/>
  <c r="U27" i="8"/>
  <c r="U29" i="8"/>
  <c r="U31" i="8"/>
  <c r="U42" i="8"/>
  <c r="U25" i="8"/>
  <c r="M49" i="1"/>
  <c r="J32" i="9"/>
  <c r="J35" i="9" s="1"/>
  <c r="J37" i="9" s="1"/>
  <c r="J38" i="9" s="1"/>
  <c r="M14" i="1"/>
  <c r="J14" i="1" s="1"/>
  <c r="M38" i="1"/>
  <c r="U44" i="8"/>
  <c r="U28" i="8"/>
  <c r="H17" i="8"/>
  <c r="U47" i="8"/>
  <c r="S67" i="7"/>
  <c r="R73" i="7"/>
  <c r="S57" i="7"/>
  <c r="F28" i="7"/>
  <c r="S71" i="7"/>
  <c r="R67" i="7"/>
  <c r="R58" i="7"/>
  <c r="S68" i="7"/>
  <c r="R59" i="7"/>
  <c r="R61" i="7"/>
  <c r="R62" i="7"/>
  <c r="R65" i="7"/>
  <c r="R75" i="7"/>
  <c r="R64" i="7"/>
  <c r="S59" i="7"/>
  <c r="F25" i="7"/>
  <c r="F27" i="7" s="1"/>
  <c r="R66" i="7"/>
  <c r="S64" i="7"/>
  <c r="U32" i="8"/>
  <c r="U33" i="8"/>
  <c r="U38" i="8"/>
  <c r="U30" i="8"/>
  <c r="S58" i="7"/>
  <c r="S69" i="7"/>
  <c r="U69" i="7" s="1"/>
  <c r="S66" i="7"/>
  <c r="H31" i="8"/>
  <c r="R68" i="7"/>
  <c r="S62" i="7"/>
  <c r="S73" i="7"/>
  <c r="U40" i="8"/>
  <c r="R72" i="7"/>
  <c r="S63" i="7"/>
  <c r="S56" i="7"/>
  <c r="S75" i="7"/>
  <c r="S70" i="7"/>
  <c r="R56" i="7"/>
  <c r="R71" i="7"/>
  <c r="S65" i="7"/>
  <c r="S61" i="7"/>
  <c r="S74" i="7"/>
  <c r="R70" i="7"/>
  <c r="S60" i="7"/>
  <c r="S72" i="7"/>
  <c r="R63" i="7"/>
  <c r="R74" i="7"/>
  <c r="R57" i="7"/>
  <c r="R60" i="7"/>
  <c r="U41" i="8"/>
  <c r="U39" i="8"/>
  <c r="U46" i="8"/>
  <c r="U34" i="8"/>
  <c r="U45" i="8"/>
  <c r="U49" i="8"/>
  <c r="U26" i="8"/>
  <c r="U73" i="7" l="1"/>
  <c r="I47" i="1"/>
  <c r="J47" i="1" s="1"/>
  <c r="I29" i="1"/>
  <c r="I30" i="1"/>
  <c r="I32" i="1" s="1"/>
  <c r="I33" i="1" s="1"/>
  <c r="I35" i="1" s="1"/>
  <c r="U68" i="7"/>
  <c r="R11" i="8"/>
  <c r="R24" i="8"/>
  <c r="S10" i="8"/>
  <c r="S24" i="8"/>
  <c r="J34" i="9"/>
  <c r="S22" i="8"/>
  <c r="U65" i="7"/>
  <c r="U75" i="7"/>
  <c r="U59" i="7"/>
  <c r="U71" i="7"/>
  <c r="S14" i="8"/>
  <c r="S6" i="8"/>
  <c r="S13" i="8"/>
  <c r="S15" i="8"/>
  <c r="S17" i="8"/>
  <c r="S9" i="8"/>
  <c r="R10" i="8"/>
  <c r="S20" i="8"/>
  <c r="S23" i="8"/>
  <c r="S12" i="8"/>
  <c r="U62" i="7"/>
  <c r="R21" i="8"/>
  <c r="R13" i="8"/>
  <c r="S4" i="8"/>
  <c r="S7" i="8"/>
  <c r="S21" i="8"/>
  <c r="S18" i="8"/>
  <c r="S8" i="8"/>
  <c r="S5" i="8"/>
  <c r="S19" i="8"/>
  <c r="S11" i="8"/>
  <c r="F19" i="8"/>
  <c r="F21" i="8" s="1"/>
  <c r="F42" i="8" s="1"/>
  <c r="F44" i="8" s="1"/>
  <c r="S16" i="8"/>
  <c r="R9" i="8"/>
  <c r="R22" i="8"/>
  <c r="R14" i="8"/>
  <c r="R15" i="8"/>
  <c r="U57" i="7"/>
  <c r="U74" i="7"/>
  <c r="U58" i="7"/>
  <c r="U67" i="7"/>
  <c r="U60" i="7"/>
  <c r="U72" i="7"/>
  <c r="U70" i="7"/>
  <c r="U61" i="7"/>
  <c r="U63" i="7"/>
  <c r="U66" i="7"/>
  <c r="U64" i="7"/>
  <c r="R16" i="8"/>
  <c r="R23" i="8"/>
  <c r="R4" i="8"/>
  <c r="R18" i="8"/>
  <c r="R19" i="8"/>
  <c r="R17" i="8"/>
  <c r="R8" i="8"/>
  <c r="R5" i="8"/>
  <c r="R20" i="8"/>
  <c r="R12" i="8"/>
  <c r="R7" i="8"/>
  <c r="R6" i="8"/>
  <c r="U6" i="8" s="1"/>
  <c r="U56" i="7"/>
  <c r="U11" i="8" l="1"/>
  <c r="U23" i="8"/>
  <c r="L38" i="1"/>
  <c r="L49" i="1" s="1"/>
  <c r="U22" i="8"/>
  <c r="U10" i="8"/>
  <c r="U24" i="8"/>
  <c r="U17" i="8"/>
  <c r="U14" i="8"/>
  <c r="U9" i="8"/>
  <c r="U5" i="8"/>
  <c r="U21" i="8"/>
  <c r="U18" i="8"/>
  <c r="U12" i="8"/>
  <c r="U13" i="8"/>
  <c r="U15" i="8"/>
  <c r="U19" i="8"/>
  <c r="U8" i="8"/>
  <c r="U4" i="8"/>
  <c r="U20" i="8"/>
  <c r="U7" i="8"/>
  <c r="U16" i="8"/>
  <c r="U77" i="7"/>
  <c r="U78" i="7" s="1"/>
  <c r="F29" i="7" s="1"/>
  <c r="J61" i="1" l="1"/>
  <c r="U51" i="8"/>
  <c r="F48" i="8" s="1"/>
  <c r="F30" i="7"/>
  <c r="J58" i="1" l="1"/>
  <c r="J62" i="1"/>
  <c r="I61" i="1"/>
  <c r="I62" i="1"/>
  <c r="J60" i="1"/>
  <c r="J41" i="1"/>
  <c r="L41" i="1" s="1"/>
  <c r="I60" i="1"/>
  <c r="J40" i="1"/>
  <c r="I40" i="1"/>
  <c r="I39" i="1"/>
  <c r="J39" i="1"/>
  <c r="I58" i="1"/>
  <c r="I41" i="1"/>
  <c r="U52" i="8"/>
  <c r="F46" i="8" s="1"/>
  <c r="M40" i="1" l="1"/>
  <c r="L40" i="1"/>
  <c r="L39" i="1"/>
  <c r="M41" i="1"/>
  <c r="J63" i="1"/>
  <c r="J65" i="1" s="1"/>
  <c r="J42" i="1" s="1"/>
  <c r="I63" i="1"/>
  <c r="I65" i="1" s="1"/>
  <c r="M39" i="1"/>
  <c r="J44" i="1" l="1"/>
  <c r="L47" i="1"/>
  <c r="J43" i="1"/>
  <c r="I44" i="1"/>
  <c r="L43" i="1" l="1"/>
  <c r="I43" i="1"/>
  <c r="I66" i="1" s="1"/>
  <c r="I67" i="1" s="1"/>
  <c r="M48" i="1"/>
  <c r="L48" i="1"/>
  <c r="M44" i="1"/>
  <c r="L44" i="1"/>
  <c r="J50" i="1"/>
  <c r="I50" i="1"/>
  <c r="M43" i="1"/>
  <c r="J66" i="1"/>
  <c r="J67" i="1" s="1"/>
  <c r="M47" i="1"/>
  <c r="F75" i="1" l="1"/>
  <c r="I75" i="1" s="1"/>
  <c r="F73" i="1"/>
  <c r="F72" i="1"/>
  <c r="F74" i="1"/>
  <c r="J75" i="1" l="1"/>
  <c r="I74" i="1"/>
  <c r="J74" i="1"/>
  <c r="I73" i="1"/>
  <c r="J73" i="1"/>
  <c r="I72" i="1"/>
  <c r="J72" i="1"/>
  <c r="F76" i="1"/>
  <c r="J76" i="1" l="1"/>
  <c r="J68" i="1" s="1"/>
  <c r="J69" i="1" s="1"/>
  <c r="I76" i="1"/>
  <c r="I68" i="1" s="1"/>
  <c r="I69" i="1" s="1"/>
  <c r="M42" i="1" l="1"/>
  <c r="M45" i="1" s="1"/>
  <c r="J45" i="1"/>
  <c r="J52" i="1" s="1"/>
  <c r="L52" i="1" s="1"/>
  <c r="L42" i="1"/>
  <c r="L45" i="1" s="1"/>
  <c r="I42" i="1"/>
  <c r="I45" i="1" s="1"/>
  <c r="I52" i="1" s="1"/>
  <c r="I54" i="1" s="1"/>
  <c r="M52" i="1" l="1"/>
</calcChain>
</file>

<file path=xl/comments1.xml><?xml version="1.0" encoding="utf-8"?>
<comments xmlns="http://schemas.openxmlformats.org/spreadsheetml/2006/main">
  <authors>
    <author>B. Keizer</author>
  </authors>
  <commentList>
    <comment ref="G31" authorId="0" shapeId="0">
      <text>
        <r>
          <rPr>
            <sz val="9"/>
            <color indexed="81"/>
            <rFont val="Tahoma"/>
            <family val="2"/>
          </rPr>
          <t xml:space="preserve">
Per 1 jan. 2018 verhoogd van 5,15% naar 5,85%.</t>
        </r>
      </text>
    </comment>
    <comment ref="G33" authorId="0" shapeId="0">
      <text>
        <r>
          <rPr>
            <sz val="9"/>
            <color indexed="81"/>
            <rFont val="Tahoma"/>
            <family val="2"/>
          </rPr>
          <t xml:space="preserve">
Bij geen volledige ERD kan men het van toepassing zijnde percentage invullen.</t>
        </r>
      </text>
    </comment>
  </commentList>
</comments>
</file>

<file path=xl/comments2.xml><?xml version="1.0" encoding="utf-8"?>
<comments xmlns="http://schemas.openxmlformats.org/spreadsheetml/2006/main">
  <authors>
    <author>Bé Keizer</author>
    <author>Keizer</author>
    <author>B. Keizer</author>
  </authors>
  <commentList>
    <comment ref="G13" authorId="0" shapeId="0">
      <text>
        <r>
          <rPr>
            <sz val="8"/>
            <color indexed="81"/>
            <rFont val="Tahoma"/>
            <family val="2"/>
          </rPr>
          <t xml:space="preserve">
Alleen bij de functie ID1 geldt dat er sprake is van een aanloopschaal van twee regels. Deze aanloopschalen zijn in dit instrument buiten beschouwing gelaten, gestart wordt met regel 1. 
Zie de tabellen rij 48.
</t>
        </r>
      </text>
    </comment>
    <comment ref="F23" authorId="1" shapeId="0">
      <text>
        <r>
          <rPr>
            <sz val="9"/>
            <color indexed="81"/>
            <rFont val="Tahoma"/>
            <family val="2"/>
          </rPr>
          <t>Deze eindejaarsuitkering wordt toegekend aan de schalen 1  t/m 8. Zie tabellen.</t>
        </r>
      </text>
    </comment>
    <comment ref="F24" authorId="0" shapeId="0">
      <text>
        <r>
          <rPr>
            <sz val="9"/>
            <color indexed="81"/>
            <rFont val="Tahoma"/>
            <family val="2"/>
          </rPr>
          <t xml:space="preserve">
Geldt voor de directeuren verbonden aan een school PO die benoemd zijn in de schalen DA t/m DCuitloop (incl. meerhoofdig).</t>
        </r>
      </text>
    </comment>
    <comment ref="F27" authorId="0" shapeId="0">
      <text>
        <r>
          <rPr>
            <sz val="9"/>
            <color indexed="81"/>
            <rFont val="Tahoma"/>
            <family val="2"/>
          </rPr>
          <t xml:space="preserve">
De uitkering bedraagt bij een normbetrekking 200 euro die in de maanden januari t/m oktober wordt opgebouwd en uitgekeerd in oktober.</t>
        </r>
      </text>
    </comment>
    <comment ref="F28" authorId="1" shapeId="0">
      <text>
        <r>
          <rPr>
            <sz val="9"/>
            <color indexed="81"/>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E35" authorId="1" shapeId="0">
      <text>
        <r>
          <rPr>
            <sz val="9"/>
            <color indexed="81"/>
            <rFont val="Tahoma"/>
            <family val="2"/>
          </rPr>
          <t xml:space="preserve">
Het jaarinkomen ABP wordt in januari van elk jaar bepaald.</t>
        </r>
      </text>
    </comment>
    <comment ref="G47" authorId="0" shapeId="0">
      <text>
        <r>
          <rPr>
            <sz val="9"/>
            <color indexed="81"/>
            <rFont val="Tahoma"/>
            <family val="2"/>
          </rPr>
          <t xml:space="preserve">
Zie toelichting:
1 = premie verplichte verzekering (6,10%)
2 = premie vrijwillige verzekering (6,10%)
3 = eigenrisicodrager (0,15%)
4 = geen aansluiting (0%)
5 = ERD WD14 (3,80%)
6 = ERD WD42 (3,20%)
7 = ERD SL80 (0,80%)
8 = ERD SL100 (0,50%)
</t>
        </r>
      </text>
    </comment>
    <comment ref="G49" authorId="2" shapeId="0">
      <text>
        <r>
          <rPr>
            <sz val="9"/>
            <color indexed="81"/>
            <rFont val="Tahoma"/>
            <family val="2"/>
          </rPr>
          <t xml:space="preserve">
Het kan hierbij gaan om een afgesproken vergoeding voor reis- en verblijfkosten, parkeerkosten en dergelijke.</t>
        </r>
      </text>
    </comment>
  </commentList>
</comments>
</file>

<file path=xl/comments3.xml><?xml version="1.0" encoding="utf-8"?>
<comments xmlns="http://schemas.openxmlformats.org/spreadsheetml/2006/main">
  <authors>
    <author>Bé Keizer</author>
    <author>Gebruiker</author>
    <author>Keizer</author>
  </authors>
  <commentList>
    <comment ref="D13" authorId="0" shapeId="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shapeId="0">
      <text>
        <r>
          <rPr>
            <sz val="8"/>
            <color indexed="81"/>
            <rFont val="Tahoma"/>
            <family val="2"/>
          </rPr>
          <t xml:space="preserve">
</t>
        </r>
        <r>
          <rPr>
            <sz val="10"/>
            <color indexed="81"/>
            <rFont val="Tahoma"/>
            <family val="2"/>
          </rPr>
          <t>delen van een maand als hele maand rekenen</t>
        </r>
      </text>
    </comment>
    <comment ref="H46" authorId="2" shapeId="0">
      <text>
        <r>
          <rPr>
            <sz val="8"/>
            <color indexed="81"/>
            <rFont val="Tahoma"/>
            <family val="2"/>
          </rPr>
          <t xml:space="preserve">
Vaststellen op basis van totaal aantal fte gedeeld door het totaal aantal personeelsleden bij het betreffende bestuur. 
De 73,9% is een landelijk cijfer van 2010.</t>
        </r>
      </text>
    </comment>
  </commentList>
</comments>
</file>

<file path=xl/comments4.xml><?xml version="1.0" encoding="utf-8"?>
<comments xmlns="http://schemas.openxmlformats.org/spreadsheetml/2006/main">
  <authors>
    <author>Keizer</author>
  </authors>
  <commentList>
    <comment ref="D10" authorId="0" shapeId="0">
      <text>
        <r>
          <rPr>
            <sz val="9"/>
            <color indexed="81"/>
            <rFont val="Tahoma"/>
            <family val="2"/>
          </rPr>
          <t xml:space="preserve">
Opgave i.v.m. toe(s)lagen.
OOP S9 houdt in inschaling in schaal 9 of hoger voor OOP.</t>
        </r>
      </text>
    </comment>
  </commentList>
</comments>
</file>

<file path=xl/comments5.xml><?xml version="1.0" encoding="utf-8"?>
<comments xmlns="http://schemas.openxmlformats.org/spreadsheetml/2006/main">
  <authors>
    <author>Keizer</author>
  </authors>
  <commentList>
    <comment ref="F39" authorId="0" shapeId="0">
      <text>
        <r>
          <rPr>
            <sz val="8"/>
            <color indexed="81"/>
            <rFont val="Tahoma"/>
            <family val="2"/>
          </rPr>
          <t>Omvang personeelsbestand bestuur in aantal fte.</t>
        </r>
      </text>
    </comment>
    <comment ref="F40" authorId="0" shapeId="0">
      <text>
        <r>
          <rPr>
            <sz val="8"/>
            <color indexed="81"/>
            <rFont val="Tahoma"/>
            <family val="2"/>
          </rPr>
          <t xml:space="preserve">
Vaststellen op basis van totaal aantal fte gedeeld door het totaal aantal personeelsleden bij het betreffende bestuur. 
De 73,9% is een landelijk gegeven (2010).</t>
        </r>
      </text>
    </comment>
    <comment ref="F43" authorId="0" shapeId="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5" authorId="0" shapeId="0">
      <text>
        <r>
          <rPr>
            <sz val="8"/>
            <color indexed="81"/>
            <rFont val="Tahoma"/>
            <family val="2"/>
          </rPr>
          <t>Is mede gebaseerd op de aanname dat even vaak sprake is van 1 als 2 periodieken, gemiddeld dus 1,5 periodiek.</t>
        </r>
      </text>
    </comment>
  </commentList>
</comments>
</file>

<file path=xl/comments6.xml><?xml version="1.0" encoding="utf-8"?>
<comments xmlns="http://schemas.openxmlformats.org/spreadsheetml/2006/main">
  <authors>
    <author>Bé Keizer</author>
    <author>Keizer</author>
    <author>B. Keizer</author>
    <author>B Keizer</author>
  </authors>
  <commentList>
    <comment ref="A18" authorId="0" shapeId="0">
      <text>
        <r>
          <rPr>
            <sz val="9"/>
            <color indexed="81"/>
            <rFont val="Tahoma"/>
            <family val="2"/>
          </rPr>
          <t xml:space="preserve">
Aanloopschalen a1 en a2 achterwege gelaten. Aanpassing min. loon per 1-7-2019 zorgt dat de aanloopschalen dan tenminste 1635,60 zijn. </t>
        </r>
      </text>
    </comment>
    <comment ref="A72" authorId="0" shapeId="0">
      <text>
        <r>
          <rPr>
            <sz val="9"/>
            <color indexed="81"/>
            <rFont val="Tahoma"/>
            <family val="2"/>
          </rPr>
          <t xml:space="preserve">
Aanloopschalen a1 en a2 achterwege gelaten. Aanpassing min. loon per 1-7-2020 zorgt dat de aanloopschalen dan tenminste 1706,86 zijn. </t>
        </r>
      </text>
    </comment>
    <comment ref="G106" authorId="1" shapeId="0">
      <text>
        <r>
          <rPr>
            <sz val="9"/>
            <color indexed="81"/>
            <rFont val="Tahoma"/>
            <family val="2"/>
          </rPr>
          <t xml:space="preserve">
Belastingdienst, Nieuwsbrief Loonheffingen 2017.</t>
        </r>
      </text>
    </comment>
    <comment ref="A107" authorId="1" shapeId="0">
      <text>
        <r>
          <rPr>
            <sz val="9"/>
            <color indexed="81"/>
            <rFont val="Tahoma"/>
            <family val="2"/>
          </rPr>
          <t xml:space="preserve">
Inclusief Anw-compensatie van 0,28% WG en 0,12% WN.</t>
        </r>
      </text>
    </comment>
    <comment ref="A111" authorId="1" shapeId="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A113" authorId="0" shapeId="0">
      <text>
        <r>
          <rPr>
            <sz val="9"/>
            <color indexed="81"/>
            <rFont val="Tahoma"/>
            <family val="2"/>
          </rPr>
          <t xml:space="preserve">
Betreft: Uitvoering Fonds Overheid. Is exclusief premie kinderopvang van 0,50% die bij de basispremie WAO is opgenomen (Regeling vaststelling premiepercentages werknemersverzekeringen, volksverzekeringen en opslag kinderopvang 2018, art. 8 en 10).</t>
        </r>
      </text>
    </comment>
    <comment ref="A114" authorId="1" shapeId="0">
      <text>
        <r>
          <rPr>
            <sz val="10"/>
            <color indexed="81"/>
            <rFont val="Tahoma"/>
            <family val="2"/>
          </rPr>
          <t xml:space="preserve">
Premie VF vanaf 1 jan 2019 is 6,25%.</t>
        </r>
      </text>
    </comment>
    <comment ref="C116" authorId="2" shapeId="0">
      <text>
        <r>
          <rPr>
            <sz val="9"/>
            <color indexed="81"/>
            <rFont val="Tahoma"/>
            <family val="2"/>
          </rPr>
          <t xml:space="preserve">
Bij geen volledige ERD kan men hier het van toepassing zijnde percentage invullen.</t>
        </r>
      </text>
    </comment>
    <comment ref="A118" authorId="1" shapeId="0">
      <text>
        <r>
          <rPr>
            <sz val="9"/>
            <color indexed="81"/>
            <rFont val="Tahoma"/>
            <family val="2"/>
          </rPr>
          <t xml:space="preserve">
Premie per 1 jan. 2019 is nu 4,0%</t>
        </r>
      </text>
    </comment>
    <comment ref="A136" authorId="3" shapeId="0">
      <text>
        <r>
          <rPr>
            <sz val="9"/>
            <color indexed="81"/>
            <rFont val="Tahoma"/>
            <family val="2"/>
          </rPr>
          <t xml:space="preserve">
Betreft inkomenstoelage voor alleen OOP-ers.</t>
        </r>
      </text>
    </comment>
    <comment ref="A152" authorId="0" shapeId="0">
      <text>
        <r>
          <rPr>
            <sz val="9"/>
            <color indexed="81"/>
            <rFont val="Tahoma"/>
            <family val="2"/>
          </rPr>
          <t xml:space="preserve">
Geldt voor de directeuren verbonden aan een school PO die benoemd zijn in de schalen DA t/m DCuitloop (incl. meerhoofdig).</t>
        </r>
      </text>
    </comment>
  </commentList>
</comments>
</file>

<file path=xl/sharedStrings.xml><?xml version="1.0" encoding="utf-8"?>
<sst xmlns="http://schemas.openxmlformats.org/spreadsheetml/2006/main" count="604" uniqueCount="377">
  <si>
    <t>salaristabellen</t>
  </si>
  <si>
    <t>schaal / regel</t>
  </si>
  <si>
    <t>DA</t>
  </si>
  <si>
    <t>DB</t>
  </si>
  <si>
    <t>DBuit</t>
  </si>
  <si>
    <t>DC</t>
  </si>
  <si>
    <t>DCuit</t>
  </si>
  <si>
    <t>DD</t>
  </si>
  <si>
    <t>DE</t>
  </si>
  <si>
    <t>AA</t>
  </si>
  <si>
    <t>AB</t>
  </si>
  <si>
    <t>AC</t>
  </si>
  <si>
    <t>AD</t>
  </si>
  <si>
    <t>AE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</si>
  <si>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</si>
  <si>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</si>
  <si>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</si>
  <si>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</si>
  <si>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</si>
  <si>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</si>
  <si>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</si>
  <si>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</si>
  <si>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</si>
  <si>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</si>
  <si>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</si>
  <si>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</si>
  <si>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</si>
  <si>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</si>
  <si>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</si>
  <si>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Werkbladen</t>
  </si>
  <si>
    <t>Werkblad Tabellen</t>
  </si>
  <si>
    <t>De werkbladen zijn beveiligd met het wachtwoord:</t>
  </si>
  <si>
    <t>vakantieuitkering</t>
  </si>
  <si>
    <t>Jaarbasis</t>
  </si>
  <si>
    <t>OP/NP</t>
  </si>
  <si>
    <t>werkgever</t>
  </si>
  <si>
    <t>werknemer</t>
  </si>
  <si>
    <t>FPU</t>
  </si>
  <si>
    <t>Tabel premiepercentages</t>
  </si>
  <si>
    <t>max. bedrag</t>
  </si>
  <si>
    <t>Totaal pensioenpremie</t>
  </si>
  <si>
    <t>maand</t>
  </si>
  <si>
    <t>a</t>
  </si>
  <si>
    <t>b</t>
  </si>
  <si>
    <t>c</t>
  </si>
  <si>
    <t>d</t>
  </si>
  <si>
    <t>e</t>
  </si>
  <si>
    <t>f</t>
  </si>
  <si>
    <t>i</t>
  </si>
  <si>
    <t>UFO</t>
  </si>
  <si>
    <t>premie Vf</t>
  </si>
  <si>
    <t>premie Pf</t>
  </si>
  <si>
    <t>Totaal werkgeverslasten</t>
  </si>
  <si>
    <t>Jaarinkomen ABP</t>
  </si>
  <si>
    <t>per maand</t>
  </si>
  <si>
    <t>per jaar</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</si>
  <si>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</si>
  <si>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</si>
  <si>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</si>
  <si>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</si>
  <si>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 xml:space="preserve">voor een werkgever bij de aanstelling van een werknemer. </t>
  </si>
  <si>
    <t>Uitlooptoeslag</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</si>
  <si>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</si>
  <si>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</si>
  <si>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</si>
  <si>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</si>
  <si>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</si>
  <si>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</si>
  <si>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</si>
  <si>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</si>
  <si>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</si>
  <si>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</si>
  <si>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</si>
  <si>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</si>
  <si>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</si>
  <si>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</si>
  <si>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</si>
  <si>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</si>
  <si>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</si>
  <si>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</si>
  <si>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</si>
  <si>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</si>
  <si>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ZVW</t>
  </si>
  <si>
    <t>k</t>
  </si>
  <si>
    <t>Loon voor de loonbelasting</t>
  </si>
  <si>
    <t>franchise jr</t>
  </si>
  <si>
    <t>franchise mnd</t>
  </si>
  <si>
    <t>NB: Uitsluitend gebruik gemaakt van onderstaande tabellen</t>
  </si>
  <si>
    <t>Schijf</t>
  </si>
  <si>
    <t>Belasting</t>
  </si>
  <si>
    <t>schijf 1</t>
  </si>
  <si>
    <t>schijf 2</t>
  </si>
  <si>
    <t>schijf 3</t>
  </si>
  <si>
    <t>schijf 4</t>
  </si>
  <si>
    <t>Compensatie ziektekosten</t>
  </si>
  <si>
    <t>eindejaarsuitkering OOP</t>
  </si>
  <si>
    <t>Eindejaarsuitkering OOP</t>
  </si>
  <si>
    <t xml:space="preserve">Ook de berekening van het bruto-netto traject voor de werknemer beoogt slechts een indicatie op hoofdlijnen </t>
  </si>
  <si>
    <t xml:space="preserve">te geven. De 'echte' berekening plus de berekening loonbelasting is een complexe materie die hier vereenvoudigd </t>
  </si>
  <si>
    <t>de sociale premies berekend moeten worden.</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</si>
  <si>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</si>
  <si>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</si>
  <si>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</si>
  <si>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</si>
  <si>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</si>
  <si>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</si>
  <si>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</si>
  <si>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</si>
  <si>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</si>
  <si>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</si>
  <si>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</si>
  <si>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</si>
  <si>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</si>
  <si>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</si>
  <si>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</si>
  <si>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</si>
  <si>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</si>
  <si>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</si>
  <si>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</si>
  <si>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</si>
  <si>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</si>
  <si>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</si>
  <si>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</si>
  <si>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</si>
  <si>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</si>
  <si>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</si>
  <si>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</si>
  <si>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</si>
  <si>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</si>
  <si>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</si>
  <si>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</si>
  <si>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</si>
  <si>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</si>
  <si>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</si>
  <si>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</si>
  <si>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</si>
  <si>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</si>
  <si>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</si>
  <si>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</si>
  <si>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</si>
  <si>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</si>
  <si>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</si>
  <si>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</si>
  <si>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</si>
  <si>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</si>
  <si>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</si>
  <si>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</si>
  <si>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</si>
  <si>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</si>
  <si>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</si>
  <si>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</si>
  <si>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</si>
  <si>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</si>
  <si>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</si>
  <si>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</si>
  <si>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</si>
  <si>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</si>
  <si>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</si>
  <si>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</si>
  <si>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</si>
  <si>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</si>
  <si>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</si>
  <si>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Werkblad Werkgeverslasten</t>
  </si>
  <si>
    <t>Werkblad Ouderschapsverlof</t>
  </si>
  <si>
    <t xml:space="preserve">In dit werkblad worden de kosten en baten berekend van het betaalde ouderschapsverlof. De opgave van de gegevens van de </t>
  </si>
  <si>
    <t>Bestuur</t>
  </si>
  <si>
    <t xml:space="preserve">De opgegeven waarden onder a. bij Bestuur zijn gebaseerd op landelijke cijfers. Ieder bestuur doet er verstandig aan </t>
  </si>
  <si>
    <t xml:space="preserve">de data aan te passen op basis van eigen gegevens. </t>
  </si>
  <si>
    <t>Werkblad Functiedifferentiatie</t>
  </si>
  <si>
    <t>In dit werkblad worden de kosten berekend van wijziging van een bestaande functie in een andere.</t>
  </si>
  <si>
    <t>Daarbij kan het gaan om functiedifferentiatie, promotie of eventuele demotie.</t>
  </si>
  <si>
    <t>De functiewijziging kan betrekking hebben op functies voor OP, OOP en Directie en kan ook betrekking hebben op de wijziging</t>
  </si>
  <si>
    <t>van de ene functiecategorie naar de andere.</t>
  </si>
  <si>
    <t>De berekening vindt plaats op basis van de bestaande functie met opgave van schaal plus regel, en de opgave van de nieuwe</t>
  </si>
  <si>
    <t>functie, eveneens met schaal en regel. In de tabel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</si>
  <si>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</si>
  <si>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</si>
  <si>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</si>
  <si>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</si>
  <si>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</si>
  <si>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</si>
  <si>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Werkblad Extra Periodieken</t>
  </si>
  <si>
    <t xml:space="preserve">In dit werkblad worden de kosten berekend van de toekenning van extra periodieken. Deze toekenning kan gebaseerd </t>
  </si>
  <si>
    <t xml:space="preserve">zijn op de regeling voor herintreders zoals opgenomen in de CAO PO of als vorm van beloningsdifferentiatie.  </t>
  </si>
  <si>
    <t>De opgave van de aard van de toekenning heeft als zodanig geen effect op de berekening.</t>
  </si>
  <si>
    <t>De berekening van de kosten van een of meer extra periodieken kan plaats vinden voor de categorieen OP, OOP en Directie.</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</si>
  <si>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</si>
  <si>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</si>
  <si>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</si>
  <si>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</si>
  <si>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</si>
  <si>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</si>
  <si>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Voor het maken van meerjarenformatiebeleid in relatie tot een meerjarenbegroting is deze info van belang.</t>
  </si>
  <si>
    <t>0,8% levensloop</t>
  </si>
  <si>
    <t>Tabel 1 Schijventarief inkomstenbelasting/premie volksverzekeringen</t>
  </si>
  <si>
    <t>Inkomsten</t>
  </si>
  <si>
    <t>totaal</t>
  </si>
  <si>
    <t>WAO/WIA</t>
  </si>
  <si>
    <t>Deze toeslag wordt toegekend op basis van artikel 6.13 van de CAO PO.</t>
  </si>
  <si>
    <t>Doorbetaling 55% salaris werkgever</t>
  </si>
  <si>
    <t>Dag van de leraar (OP, OOP, Dir)</t>
  </si>
  <si>
    <t>AOP</t>
  </si>
  <si>
    <t>VF: premie verplichte aansluiting</t>
  </si>
  <si>
    <t>VF: premie vrijwillige aansluiting</t>
  </si>
  <si>
    <t>Inzet 0,8% levensloop</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</si>
  <si>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</si>
  <si>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</si>
  <si>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</si>
  <si>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Verzekeren bij het Risicofonds is ook een mogelijkheid.</t>
  </si>
  <si>
    <t xml:space="preserve">Ook biedt het werkblad de mogelijkheid de kosten van ouderschapsverlof te ramen voor het bestuur </t>
  </si>
  <si>
    <t xml:space="preserve">Op basis van de eigen gegevens van een bestuur zijn de kosten redelijk nauwkeurig te ramen. </t>
  </si>
  <si>
    <t xml:space="preserve"> - werkgevers die de werknemers die niet verplicht verzekerd zijn, ook niet vrijwillig verzekeren bij het VF: premie = 0,00%</t>
  </si>
  <si>
    <t>Het onderdeel bestuur biedt de mogelijkheid de kosten van extra periodieken te ramen voor de herintreedsters.</t>
  </si>
  <si>
    <t>Toelage directeuren</t>
  </si>
  <si>
    <t>toelage directeuren</t>
  </si>
  <si>
    <t>Twee aanloopschalen bij ID1 zijn achterwege gelaten (minder relevant en onnodig complicerend voor de uitwerking in dit instrument).</t>
  </si>
  <si>
    <t>bij een normbetrekking, per maand</t>
  </si>
  <si>
    <t xml:space="preserve">Het bruto-netto traject geeft de informatie over de omvang van het bijdrage-inkomen (voorheen coördinatieloon) waarover </t>
  </si>
  <si>
    <t>Voor nadere informatie:</t>
  </si>
  <si>
    <t xml:space="preserve">In individuele gevallen zal er nog sprake zijn van loonkosten die hier niet zijn opgenomen. Bijvoorbeeld reiskosten, een </t>
  </si>
  <si>
    <t>betreffende werknemer laat de salariskosten zien die de werkgever moet betalen uit eigen middelen.</t>
  </si>
  <si>
    <t>WERKGEVERSLASTEN PO</t>
  </si>
  <si>
    <t>% normsalaris</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</si>
  <si>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</si>
  <si>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</si>
  <si>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</si>
  <si>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</si>
  <si>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</si>
  <si>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</si>
  <si>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</si>
  <si>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r>
      <t xml:space="preserve">een gelijkblijvende werktijdfactor. Wanneer men opgeeft dat deze wordt gewijzigd door op de gevraagde plaats dit met </t>
    </r>
    <r>
      <rPr>
        <b/>
        <sz val="10"/>
        <rFont val="Calibri"/>
        <family val="2"/>
      </rPr>
      <t>ja</t>
    </r>
    <r>
      <rPr>
        <sz val="10"/>
        <rFont val="Calibri"/>
        <family val="2"/>
      </rPr>
      <t xml:space="preserve"> in te </t>
    </r>
  </si>
  <si>
    <t>Basisgegevens</t>
  </si>
  <si>
    <t>incl. afdracht loonbel. en premie</t>
  </si>
  <si>
    <t>opgave OCW 2001 (CBS: 1,6)</t>
  </si>
  <si>
    <t>kalenderjaar</t>
  </si>
  <si>
    <t>schooljaar</t>
  </si>
  <si>
    <t xml:space="preserve">KOSTEN WIJZIGING BESTAANDE FUNCTIE </t>
  </si>
  <si>
    <t>Alleen de gele velden kunnen worden gewijzigd, en bevatten de op te geven variabelen voor de berekeningen.</t>
  </si>
  <si>
    <t>Niet verzekeren betreft een keuze bij het VF voor alle OP resp. OOP die niet verplicht verzekerd zijn.</t>
  </si>
  <si>
    <t>(VUT/FPU basis)</t>
  </si>
  <si>
    <r>
      <t xml:space="preserve">Omdat de premies aangepast worden per 1 januari hebben de berekeningen Werkgeverslasten betrekking op het </t>
    </r>
    <r>
      <rPr>
        <b/>
        <sz val="10"/>
        <rFont val="Calibri"/>
        <family val="2"/>
      </rPr>
      <t>kalenderjaar</t>
    </r>
    <r>
      <rPr>
        <sz val="10"/>
        <rFont val="Calibri"/>
        <family val="2"/>
      </rPr>
      <t>.</t>
    </r>
  </si>
  <si>
    <t xml:space="preserve">Ter nadere info: </t>
  </si>
  <si>
    <t>Geboortedatum</t>
  </si>
  <si>
    <t>Loonheffing zonder loonheffingskortingen</t>
  </si>
  <si>
    <t>Loonheffing</t>
  </si>
  <si>
    <t xml:space="preserve">ten opzichte van het bruto salaris. Op die wijze kan het als kengetal worden gehanteerd bij de vaststelling van de totale loonkosten </t>
  </si>
  <si>
    <t>be.keizer@wxs.nl</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</si>
  <si>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</si>
  <si>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</si>
  <si>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</si>
  <si>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Door dit te relateren aan het bruto salaris van die werknemer wordt het opslagpercentage verkregen.</t>
  </si>
  <si>
    <t xml:space="preserve">Echter de pensioenpremies en de premies van het VF/PF wijzigen momenteel vaker, waardoor de berekening dan een </t>
  </si>
  <si>
    <t>Functie</t>
  </si>
  <si>
    <t>toe(s)lagen</t>
  </si>
  <si>
    <t>OOP &lt;S9</t>
  </si>
  <si>
    <t>VF: geen vrijwillige aansluiting</t>
  </si>
  <si>
    <t xml:space="preserve">Zoals recent in de CAO is afgesproken wordt bij de hogere inschaling ook rekening gehouden met de toe(s)lagen - die van </t>
  </si>
  <si>
    <t>toepassing zijn - als men het maximum van de schaal bereikt.</t>
  </si>
  <si>
    <t>Dat dient men op basis van eigen gegevens, bijv. ontleend aan het werkblad Werkgeverslasten, aan te passen.</t>
  </si>
  <si>
    <t>(1)</t>
  </si>
  <si>
    <t>(2)</t>
  </si>
  <si>
    <t>(3)</t>
  </si>
  <si>
    <t>(4)</t>
  </si>
  <si>
    <t>% jaarinkomen</t>
  </si>
  <si>
    <t>Overgangspremie VPL</t>
  </si>
  <si>
    <t xml:space="preserve">Dit programmaonderdeel heeft niet de pretentie een exacte salarisberekening te maken! Zo wordt ook de vakantieuitkering en de </t>
  </si>
  <si>
    <t xml:space="preserve">eindejaarsuitkering per maand berekend. Het beoogt alleen een indicatie te geven van de omvang van de werkgeverslasten en enig inzicht te geven </t>
  </si>
  <si>
    <t>in de opbouw daarvan. Als zodanig is het een hulpmiddel voor het management bij het ramen van de personele kosten.</t>
  </si>
  <si>
    <t xml:space="preserve">Op grond van het bruto salaris per maand wordt het jaarinkomen berekend. </t>
  </si>
  <si>
    <t>Het jaarinkomen ABP wordt bepaald op basis van de situatie in januari van het betreffende jaar.</t>
  </si>
  <si>
    <t xml:space="preserve">Ten opzichte van het jaarinkomen wordt dat in een percentage omgerekend, maar belangrijker: ook in een opslagpercentage </t>
  </si>
  <si>
    <t>ZVW premie werkgever</t>
  </si>
  <si>
    <t xml:space="preserve">Voor de werkgeverslasten is al een percentage opgegeven: </t>
  </si>
  <si>
    <t>Geraamde gemiddelde WG-lasten</t>
  </si>
  <si>
    <t>Voor de werkgeverslasten is al een percentage opgegeven:</t>
  </si>
  <si>
    <t>vosabb</t>
  </si>
  <si>
    <t>www.vosabb.nl</t>
  </si>
  <si>
    <t>Bruto-netto traject 2013 Werknemer (indicatief)</t>
  </si>
  <si>
    <t>WAO/WIA-basispremie (AOF, incl. KO)</t>
  </si>
  <si>
    <t>UFO-premie</t>
  </si>
  <si>
    <t>Alle nieuwe aanstellingen vallen onder de verplichte verzekering.</t>
  </si>
  <si>
    <t>Ook zijn niet alle mogelijke heffingskortingen meegenomen.</t>
  </si>
  <si>
    <t>Premies</t>
  </si>
  <si>
    <t>Gedifferentieerde premie WGA wordt gedifferentieerde premie Whk</t>
  </si>
  <si>
    <t xml:space="preserve">De belastingdienst stelt de gedifferentieerde premie WGA per werkgever vast. De premie is afhankelijk van het arbeidsongeschiktheidsrisico </t>
  </si>
  <si>
    <t xml:space="preserve">in de werkorganisatie. Per 1 januari 2014 moet nu ook een gedifferentieerde premie betaald worden voor flexwerkers. Omdat verwerking </t>
  </si>
  <si>
    <t>daarvan te complex wordt voor dit instrument laten we deze premiebetaling buiten beschouwing.</t>
  </si>
  <si>
    <t xml:space="preserve">De gedifferentieerde premie WGA wordt nu de gedifferentieerde premie Werkhervattingskas waarbij de premie voor de vaste dienstbetrekkingen </t>
  </si>
  <si>
    <t>aangeduid wordt als het premiedeel WGA vaste dienstbetrekkingen (WGA-vast). Daarnaast zijn er premies voor de flexibele dienstbetrekkingen.</t>
  </si>
  <si>
    <t>Premie WGA-vast</t>
  </si>
  <si>
    <t xml:space="preserve">Voor het vaststellen van het percentage is van belang of er sprake is van een grote, een middelgrote of kleine werkgever. Voor kleine werkgevers </t>
  </si>
  <si>
    <t xml:space="preserve">is de gedifferentieerde premies per sector vastgesteld. Voor grote werkgevers gebeurt dat individueel. Voor middelgrote werkgevers wordt </t>
  </si>
  <si>
    <t>de premie vastgesteld als een gewogen gemiddelde van de sectorale en de individuele premie.</t>
  </si>
  <si>
    <t>Het door de Belastingdienst opgegeven percentage WGA-vast dient u op te geven in het werkblad tabellen.</t>
  </si>
  <si>
    <t>raming werkgeverslasten</t>
  </si>
  <si>
    <r>
      <t xml:space="preserve">bijgestelde versie van dit instrument vergt. In die gevallen komt er dus zo'n </t>
    </r>
    <r>
      <rPr>
        <b/>
        <sz val="10"/>
        <rFont val="Calibri"/>
        <family val="2"/>
      </rPr>
      <t>bijgestelde versie</t>
    </r>
    <r>
      <rPr>
        <sz val="10"/>
        <rFont val="Calibri"/>
        <family val="2"/>
      </rPr>
      <t>.</t>
    </r>
  </si>
  <si>
    <t xml:space="preserve">is onderdeel van de basispremie WAO/WIA. </t>
  </si>
  <si>
    <t>eigen beleid</t>
  </si>
  <si>
    <t xml:space="preserve">zoals reis- en verblijfkosten, parkeervergoeding e.d. Ga daarom na welke kosten bij uw bestuur ook nog gemaakt worden. Een schatting van </t>
  </si>
  <si>
    <r>
      <t xml:space="preserve">Ook moet rekening gehouden worden met </t>
    </r>
    <r>
      <rPr>
        <b/>
        <sz val="10"/>
        <rFont val="Calibri"/>
        <family val="2"/>
        <scheme val="minor"/>
      </rPr>
      <t>Overige kosten</t>
    </r>
    <r>
      <rPr>
        <sz val="10"/>
        <rFont val="Calibri"/>
        <family val="2"/>
        <scheme val="minor"/>
      </rPr>
      <t xml:space="preserve"> die hier niet zijn opgenomen omdat ze per individu sterk  kunnen verschillen, </t>
    </r>
  </si>
  <si>
    <t>Regelaanduiding onjuist</t>
  </si>
  <si>
    <r>
      <t xml:space="preserve">De grondslag voor Premies VF is per </t>
    </r>
    <r>
      <rPr>
        <b/>
        <i/>
        <sz val="10"/>
        <rFont val="Calibri"/>
        <family val="2"/>
      </rPr>
      <t>1 jan. 2016</t>
    </r>
    <r>
      <rPr>
        <sz val="10"/>
        <rFont val="Calibri"/>
        <family val="2"/>
      </rPr>
      <t xml:space="preserve"> veranderd van loon SVW naar brutoloon + 8% vakantiegeld. Hiermee wordt de grondslag van de  </t>
    </r>
  </si>
  <si>
    <t>Er wordt nu onderscheid gemaakt tussen:</t>
  </si>
  <si>
    <t>Bij het VF bestaat nu ook de mogelijkheid te kiezen voor een eigen risico, de zogenaamde ERD-besturen. Zie:</t>
  </si>
  <si>
    <t>Volledig ERD</t>
  </si>
  <si>
    <t>ERD WD14</t>
  </si>
  <si>
    <t>ERD WD42</t>
  </si>
  <si>
    <t>ERD SL80</t>
  </si>
  <si>
    <t>ERD SL100</t>
  </si>
  <si>
    <t>VF: ERD</t>
  </si>
  <si>
    <t>Voor ERD kan men kiezen tussen de volgende opties:</t>
  </si>
  <si>
    <t xml:space="preserve">De betaling aan de verlofganger is 55%. </t>
  </si>
  <si>
    <t>Doelgroep Eigen RisicoDrager (ERD)</t>
  </si>
  <si>
    <t>De gegevens omtrent de grondslag van uitkeringen e.d. zijn ontleend aan de Internetpublicaties van de Belastingdienst, ABP, UWV en OCW, en</t>
  </si>
  <si>
    <t xml:space="preserve">Er is vanaf 2015 sprake van enkele wijzigingen in de premievaststelling. Het deel voor de kinderopvang dat bij de UFO was ondergebracht,  </t>
  </si>
  <si>
    <t>Bé Keizer,            tel.: 06-22939674 of, bij voorkeur, per e-mail:</t>
  </si>
  <si>
    <t>Whk-gedifferentieerd</t>
  </si>
  <si>
    <t xml:space="preserve">premie verlaagd. Vanaf 1 januari 2017 betalen alle schoolbesturen (zowel regulier als ERD) een BGZ-opslag van 0,15% om de stopzetting van de </t>
  </si>
  <si>
    <t xml:space="preserve">BGZ-subsidie te compenseren. </t>
  </si>
  <si>
    <t>wordt weergegeven, met gebruikmaking van alleen het tarief van box 1.</t>
  </si>
  <si>
    <t xml:space="preserve">Onderwijsjuristen,            bereikbaar via de website van VOS/ABB: </t>
  </si>
  <si>
    <t>onderwijsjuristen@vosabb.nl</t>
  </si>
  <si>
    <t>Bijdrage-inkomen</t>
  </si>
  <si>
    <t>Nettosalaris (indicatief)</t>
  </si>
  <si>
    <t xml:space="preserve">g. </t>
  </si>
  <si>
    <t>ZVW-premie</t>
  </si>
  <si>
    <t xml:space="preserve">h. </t>
  </si>
  <si>
    <t>L10</t>
  </si>
  <si>
    <t>L11</t>
  </si>
  <si>
    <t>L12</t>
  </si>
  <si>
    <t>L13</t>
  </si>
  <si>
    <t>L14</t>
  </si>
  <si>
    <t>Belastingen 2019</t>
  </si>
  <si>
    <t>uitlooptoeslag leraar</t>
  </si>
  <si>
    <t>structurele nominale uitkering (dag van de leraar)</t>
  </si>
  <si>
    <t>Overige looncomponenten</t>
  </si>
  <si>
    <t>FPU (VUT/FPU basis)</t>
  </si>
  <si>
    <t>Overige werkgeverslasten</t>
  </si>
  <si>
    <t>premies pensioen- en werknemersverzekeringen</t>
  </si>
  <si>
    <t>Opslagpercentage t.o.v. bruto salaris plus overige looncomponenten</t>
  </si>
  <si>
    <t>Eigenrisicodragerschap</t>
  </si>
  <si>
    <t>Vervolgens kan men kiezen uit de per 1 januari 2019 geldende percentages voor:</t>
  </si>
  <si>
    <t>2019/2020</t>
  </si>
  <si>
    <t>de CAO PO. Er geldt niet langer de bijstelling van de ABP-grondslag door de zogenaamde debrutering.</t>
  </si>
  <si>
    <t>Tarieven, bedragen en percentages vanaf 1 januari 2019</t>
  </si>
  <si>
    <t>A10</t>
  </si>
  <si>
    <t>A11</t>
  </si>
  <si>
    <t>A12</t>
  </si>
  <si>
    <t>A13</t>
  </si>
  <si>
    <t>D11</t>
  </si>
  <si>
    <t>D12</t>
  </si>
  <si>
    <t>D13</t>
  </si>
  <si>
    <t>D14</t>
  </si>
  <si>
    <t>D15</t>
  </si>
  <si>
    <t>Participatiebaan</t>
  </si>
  <si>
    <t xml:space="preserve">De algemene premies zijn van toepassing vanaf 1 jan. 2020.  </t>
  </si>
  <si>
    <t>Eénmalige nominale uitkering wn</t>
  </si>
  <si>
    <t>uitkering wn maandloon januari</t>
  </si>
  <si>
    <t>n</t>
  </si>
  <si>
    <t>nominale uitkering febr. 2020</t>
  </si>
  <si>
    <t>uitkering febr. 2020: 33% salaris januari 2020</t>
  </si>
  <si>
    <t>totaal overige looncomponenten</t>
  </si>
  <si>
    <t>totaal salaris en overige looncomponenten</t>
  </si>
  <si>
    <t>(5)</t>
  </si>
  <si>
    <t>(6)</t>
  </si>
  <si>
    <t>(7)</t>
  </si>
  <si>
    <t>(8)</t>
  </si>
  <si>
    <r>
      <t xml:space="preserve"> - verplicht verzekerde werknemers: reguliere premie van 6,10</t>
    </r>
    <r>
      <rPr>
        <i/>
        <sz val="10"/>
        <rFont val="Calibri"/>
        <family val="2"/>
      </rPr>
      <t>%</t>
    </r>
    <r>
      <rPr>
        <sz val="10"/>
        <rFont val="Calibri"/>
        <family val="2"/>
      </rPr>
      <t xml:space="preserve"> (jaarbasis)</t>
    </r>
  </si>
  <si>
    <t xml:space="preserve"> - vrijwillig verzekerde werknemers: premie is vastgesteld op ook 6,10%</t>
  </si>
  <si>
    <t>In het werkblad Werkgeverslasten zijn er acht keuzes voor de bepaling van het premiepercentage VF dat van toepassing is.</t>
  </si>
  <si>
    <t xml:space="preserve">deze kosten kan opgevoerd worden bij "eigen beleid" rij 49. </t>
  </si>
  <si>
    <t>jubileumuitkering of spaarloon. Dergelijke componenten zijn in dit model te verwerken in rij 49.</t>
  </si>
  <si>
    <t>Dit werkblad bevat relevante tabellen, conform de gegevens zoals die per 1 juli 2020 gelden.</t>
  </si>
  <si>
    <t xml:space="preserve"> vanaf 1 juli</t>
  </si>
  <si>
    <t xml:space="preserve">De salaristabellen zijn de tabellen die materieel gelden vanaf 1 juli 2020. </t>
  </si>
  <si>
    <r>
      <t>De premie van het PF is per 1 januari 2020: 4,20</t>
    </r>
    <r>
      <rPr>
        <b/>
        <sz val="10"/>
        <rFont val="Calibri"/>
        <family val="2"/>
      </rPr>
      <t>%</t>
    </r>
    <r>
      <rPr>
        <sz val="10"/>
        <rFont val="Calibri"/>
        <family val="2"/>
      </rPr>
      <t>.</t>
    </r>
  </si>
  <si>
    <t>Het minimumloon wordt halfjaarlijks aangepast, het laatst nu per 1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</si>
</sst>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quot;€&quot;\ * #,##0_);_(&quot;€&quot;\ * \(#,##0\);_(&quot;€&quot;\ * &quot;-&quot;_);_(@_)"/>
    <numFmt numFmtId="165" formatCode="_-&quot;€&quot;\ * #,##0_-;_-&quot;€&quot;\ * #,##0\-;_-&quot;€&quot;\ * &quot;-&quot;_-;_-@_-"/>
    <numFmt numFmtId="166" formatCode="_-&quot;€&quot;\ * #,##0.00_-;_-&quot;€&quot;\ * #,##0.00\-;_-&quot;€&quot;\ * &quot;-&quot;??_-;_-@_-"/>
    <numFmt numFmtId="167" formatCode="_-&quot;fl&quot;\ * #,##0.00_-;_-&quot;fl&quot;\ * #,##0.00\-;_-&quot;fl&quot;\ * &quot;-&quot;??_-;_-@_-"/>
    <numFmt numFmtId="168" formatCode="0.0000"/>
    <numFmt numFmtId="169" formatCode="0.000%"/>
    <numFmt numFmtId="170" formatCode="#,##0.00_ ;[Red]\-#,##0.00\ "/>
    <numFmt numFmtId="171" formatCode="0.0%"/>
    <numFmt numFmtId="172" formatCode="#,##0.0000_ ;\-#,##0.0000\ "/>
    <numFmt numFmtId="173" formatCode="#,##0_-"/>
    <numFmt numFmtId="174" formatCode="_-[$€-2]\ * #,##0.00_-;_-[$€-2]\ * #,##0.00\-;_-[$€-2]\ * &quot;-&quot;??_-;_-@_-"/>
    <numFmt numFmtId="175" formatCode="_-[$€-413]\ * #,##0.00_-;_-[$€-413]\ * #,##0.00\-;_-[$€-413]\ * &quot;-&quot;??_-;_-@_-"/>
    <numFmt numFmtId="176" formatCode="d\ mmmm\ yyyy"/>
    <numFmt numFmtId="177" formatCode="#,##0_ ;\-#,##0\ "/>
  </numFmts>
  <fonts count="75" x14ac:knownFonts="1">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i/>
      <sz val="11"/>
      <color indexed="9"/>
      <name val="Calibri"/>
      <family val="2"/>
    </font>
    <font>
      <sz val="11"/>
      <color indexed="47"/>
      <name val="Calibri"/>
      <family val="2"/>
    </font>
    <font>
      <b/>
      <sz val="11"/>
      <color indexed="47"/>
      <name val="Calibri"/>
      <family val="2"/>
    </font>
    <font>
      <i/>
      <sz val="11"/>
      <color indexed="47"/>
      <name val="Calibri"/>
      <family val="2"/>
    </font>
    <font>
      <i/>
      <sz val="11"/>
      <color indexed="10"/>
      <name val="Calibri"/>
      <family val="2"/>
    </font>
    <font>
      <sz val="11"/>
      <color indexed="9"/>
      <name val="Calibri"/>
      <family val="2"/>
    </font>
    <font>
      <b/>
      <sz val="11"/>
      <color indexed="9"/>
      <name val="Calibri"/>
      <family val="2"/>
    </font>
    <font>
      <b/>
      <i/>
      <sz val="11"/>
      <name val="Calibri"/>
      <family val="2"/>
    </font>
    <font>
      <b/>
      <i/>
      <sz val="11"/>
      <color indexed="47"/>
      <name val="Calibri"/>
      <family val="2"/>
    </font>
    <font>
      <i/>
      <sz val="11"/>
      <color indexed="23"/>
      <name val="Calibri"/>
      <family val="2"/>
    </font>
    <font>
      <sz val="10"/>
      <name val="Calibri"/>
      <family val="2"/>
    </font>
    <font>
      <b/>
      <sz val="10"/>
      <name val="Calibri"/>
      <family val="2"/>
    </font>
    <font>
      <sz val="10"/>
      <color indexed="9"/>
      <name val="Calibri"/>
      <family val="2"/>
    </font>
    <font>
      <b/>
      <sz val="10"/>
      <color indexed="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b/>
      <i/>
      <sz val="10"/>
      <name val="Calibri"/>
      <family val="2"/>
    </font>
    <font>
      <sz val="10"/>
      <color indexed="10"/>
      <name val="Calibri"/>
      <family val="2"/>
    </font>
    <font>
      <i/>
      <sz val="10"/>
      <name val="Calibri"/>
      <family val="2"/>
    </font>
    <font>
      <u/>
      <sz val="10"/>
      <color indexed="12"/>
      <name val="Calibri"/>
      <family val="2"/>
    </font>
    <font>
      <b/>
      <sz val="12"/>
      <color indexed="10"/>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b/>
      <i/>
      <sz val="10"/>
      <color indexed="10"/>
      <name val="Calibri"/>
      <family val="2"/>
    </font>
    <font>
      <sz val="10"/>
      <color indexed="55"/>
      <name val="Calibri"/>
      <family val="2"/>
    </font>
    <font>
      <u/>
      <sz val="10"/>
      <color theme="0"/>
      <name val="Arial"/>
      <family val="2"/>
    </font>
    <font>
      <sz val="10"/>
      <name val="Calibri"/>
      <family val="2"/>
      <scheme val="minor"/>
    </font>
    <font>
      <b/>
      <i/>
      <sz val="10"/>
      <name val="Calibri"/>
      <family val="2"/>
      <scheme val="minor"/>
    </font>
    <font>
      <b/>
      <sz val="10"/>
      <name val="Calibri"/>
      <family val="2"/>
      <scheme val="minor"/>
    </font>
    <font>
      <sz val="11"/>
      <color rgb="FFFF0000"/>
      <name val="Calibri"/>
      <family val="2"/>
    </font>
    <font>
      <sz val="10"/>
      <color rgb="FF2B2B2B"/>
      <name val="Calibri"/>
      <family val="2"/>
    </font>
    <font>
      <b/>
      <sz val="10"/>
      <color rgb="FF2B2B2B"/>
      <name val="Calibri"/>
      <family val="2"/>
      <scheme val="minor"/>
    </font>
    <font>
      <sz val="10"/>
      <color rgb="FF2B2B2B"/>
      <name val="Calibri"/>
      <family val="2"/>
      <scheme val="minor"/>
    </font>
    <font>
      <b/>
      <sz val="9"/>
      <color rgb="FF2B2B2B"/>
      <name val="Calibri"/>
      <family val="2"/>
      <scheme val="minor"/>
    </font>
    <font>
      <b/>
      <sz val="10"/>
      <color rgb="FFC00000"/>
      <name val="Calibri"/>
      <family val="2"/>
    </font>
    <font>
      <b/>
      <sz val="10"/>
      <color indexed="8"/>
      <name val="Calibri"/>
      <family val="2"/>
    </font>
    <font>
      <sz val="10"/>
      <color rgb="FFFF0000"/>
      <name val="Calibri"/>
      <family val="2"/>
    </font>
    <font>
      <b/>
      <sz val="10"/>
      <color rgb="FFFF0000"/>
      <name val="Calibri"/>
      <family val="2"/>
    </font>
    <font>
      <sz val="10"/>
      <color rgb="FFFF0000"/>
      <name val="Calibri"/>
      <family val="2"/>
      <scheme val="minor"/>
    </font>
    <font>
      <sz val="10"/>
      <color indexed="8"/>
      <name val="Calibri"/>
      <family val="2"/>
      <scheme val="minor"/>
    </font>
    <font>
      <sz val="10"/>
      <color theme="0" tint="-4.9989318521683403E-2"/>
      <name val="Calibri"/>
      <family val="2"/>
    </font>
    <font>
      <sz val="11"/>
      <color theme="0" tint="-4.9989318521683403E-2"/>
      <name val="Calibri"/>
      <family val="2"/>
    </font>
    <font>
      <sz val="13"/>
      <color rgb="FF000000"/>
      <name val="Arial"/>
      <family val="2"/>
    </font>
  </fonts>
  <fills count="13">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rgb="FFCCCCFF"/>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7" fontId="1" fillId="0" borderId="0" applyFont="0" applyFill="0" applyBorder="0" applyAlignment="0" applyProtection="0"/>
  </cellStyleXfs>
  <cellXfs count="544">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5"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5" fillId="3" borderId="1" xfId="0" applyFont="1" applyFill="1" applyBorder="1" applyProtection="1"/>
    <xf numFmtId="0" fontId="15" fillId="3" borderId="2" xfId="0" applyFont="1" applyFill="1" applyBorder="1" applyProtection="1"/>
    <xf numFmtId="0" fontId="13" fillId="3" borderId="2" xfId="0" applyFont="1" applyFill="1" applyBorder="1" applyProtection="1"/>
    <xf numFmtId="9" fontId="19" fillId="3" borderId="2" xfId="2" applyFont="1" applyFill="1" applyBorder="1" applyAlignment="1" applyProtection="1">
      <alignment horizontal="center"/>
    </xf>
    <xf numFmtId="0" fontId="15" fillId="4" borderId="3" xfId="0" applyFont="1" applyFill="1" applyBorder="1" applyProtection="1"/>
    <xf numFmtId="0" fontId="15" fillId="4" borderId="4" xfId="0" applyFont="1" applyFill="1" applyBorder="1" applyProtection="1"/>
    <xf numFmtId="0" fontId="15" fillId="4" borderId="4" xfId="0" applyFont="1" applyFill="1" applyBorder="1" applyAlignment="1" applyProtection="1">
      <alignment horizontal="left"/>
    </xf>
    <xf numFmtId="0" fontId="15" fillId="4" borderId="4" xfId="0" applyFont="1" applyFill="1" applyBorder="1" applyAlignment="1" applyProtection="1">
      <alignment horizontal="center"/>
    </xf>
    <xf numFmtId="0" fontId="15" fillId="4" borderId="5" xfId="0" applyFont="1" applyFill="1" applyBorder="1" applyProtection="1"/>
    <xf numFmtId="0" fontId="15" fillId="4" borderId="6"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left"/>
    </xf>
    <xf numFmtId="0" fontId="15" fillId="4" borderId="0" xfId="0" applyFont="1" applyFill="1" applyBorder="1" applyAlignment="1" applyProtection="1">
      <alignment horizontal="center"/>
    </xf>
    <xf numFmtId="0" fontId="15" fillId="4" borderId="7" xfId="0" applyFont="1" applyFill="1" applyBorder="1" applyProtection="1"/>
    <xf numFmtId="0" fontId="15" fillId="4" borderId="0" xfId="0" applyFont="1" applyFill="1" applyBorder="1"/>
    <xf numFmtId="0" fontId="20" fillId="4" borderId="0" xfId="0" applyFont="1" applyFill="1" applyBorder="1" applyProtection="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6"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6" fillId="4" borderId="7" xfId="0" applyFont="1" applyFill="1" applyBorder="1" applyProtection="1"/>
    <xf numFmtId="0" fontId="15" fillId="4" borderId="7" xfId="0" applyFont="1" applyFill="1" applyBorder="1"/>
    <xf numFmtId="0" fontId="16" fillId="4" borderId="0" xfId="0" applyFont="1" applyFill="1" applyBorder="1" applyProtection="1"/>
    <xf numFmtId="0" fontId="17" fillId="4" borderId="6" xfId="0" applyFont="1" applyFill="1" applyBorder="1" applyProtection="1"/>
    <xf numFmtId="0" fontId="16" fillId="4" borderId="7" xfId="0" applyFont="1" applyFill="1" applyBorder="1"/>
    <xf numFmtId="0" fontId="25" fillId="4" borderId="7" xfId="0" applyFont="1" applyFill="1" applyBorder="1" applyProtection="1"/>
    <xf numFmtId="0" fontId="26" fillId="4" borderId="7" xfId="0" applyFont="1" applyFill="1" applyBorder="1" applyProtection="1"/>
    <xf numFmtId="0" fontId="15" fillId="2" borderId="0" xfId="0" applyFont="1" applyFill="1" applyBorder="1" applyProtection="1"/>
    <xf numFmtId="4" fontId="25" fillId="4" borderId="7" xfId="0" applyNumberFormat="1" applyFont="1" applyFill="1" applyBorder="1" applyProtection="1"/>
    <xf numFmtId="0" fontId="17" fillId="4" borderId="7" xfId="0" applyFont="1" applyFill="1" applyBorder="1" applyProtection="1"/>
    <xf numFmtId="166" fontId="15" fillId="4" borderId="0" xfId="0" applyNumberFormat="1" applyFont="1" applyFill="1" applyBorder="1" applyProtection="1"/>
    <xf numFmtId="0" fontId="15" fillId="3" borderId="8" xfId="0" applyFont="1" applyFill="1" applyBorder="1" applyProtection="1"/>
    <xf numFmtId="0" fontId="30" fillId="0" borderId="0" xfId="0" applyFont="1" applyBorder="1" applyAlignment="1" applyProtection="1">
      <alignment horizontal="left"/>
    </xf>
    <xf numFmtId="2" fontId="30" fillId="0" borderId="0" xfId="0" applyNumberFormat="1" applyFont="1" applyFill="1" applyBorder="1" applyAlignment="1" applyProtection="1">
      <alignment horizontal="left"/>
      <protection locked="0"/>
    </xf>
    <xf numFmtId="0" fontId="31" fillId="0" borderId="0" xfId="0" applyFont="1" applyBorder="1" applyAlignment="1" applyProtection="1">
      <alignment horizontal="left"/>
    </xf>
    <xf numFmtId="0" fontId="30" fillId="0" borderId="0" xfId="0" applyFont="1" applyFill="1" applyBorder="1" applyAlignment="1" applyProtection="1">
      <alignment horizontal="left"/>
    </xf>
    <xf numFmtId="0" fontId="30" fillId="0" borderId="0" xfId="0" applyFont="1" applyBorder="1" applyAlignment="1">
      <alignment horizontal="left"/>
    </xf>
    <xf numFmtId="49" fontId="30" fillId="0" borderId="0" xfId="0" applyNumberFormat="1" applyFont="1" applyBorder="1" applyAlignment="1" applyProtection="1">
      <alignment horizontal="left"/>
    </xf>
    <xf numFmtId="4" fontId="30" fillId="6" borderId="0" xfId="0" applyNumberFormat="1" applyFont="1" applyFill="1" applyBorder="1" applyAlignment="1" applyProtection="1">
      <alignment horizontal="left"/>
      <protection locked="0"/>
    </xf>
    <xf numFmtId="10" fontId="30" fillId="6" borderId="0" xfId="0" applyNumberFormat="1" applyFont="1" applyFill="1" applyBorder="1" applyAlignment="1" applyProtection="1">
      <alignment horizontal="left"/>
      <protection locked="0"/>
    </xf>
    <xf numFmtId="3" fontId="30" fillId="0" borderId="0" xfId="0" applyNumberFormat="1" applyFont="1" applyFill="1" applyBorder="1" applyAlignment="1" applyProtection="1">
      <alignment horizontal="left"/>
    </xf>
    <xf numFmtId="9" fontId="30" fillId="0" borderId="0" xfId="0" applyNumberFormat="1" applyFont="1" applyBorder="1" applyAlignment="1" applyProtection="1">
      <alignment horizontal="left"/>
    </xf>
    <xf numFmtId="10" fontId="30" fillId="0" borderId="0" xfId="0" applyNumberFormat="1" applyFont="1" applyBorder="1" applyAlignment="1" applyProtection="1">
      <alignment horizontal="left"/>
    </xf>
    <xf numFmtId="2" fontId="32" fillId="0" borderId="0" xfId="0" applyNumberFormat="1" applyFont="1" applyFill="1" applyBorder="1" applyAlignment="1" applyProtection="1">
      <alignment horizontal="left"/>
    </xf>
    <xf numFmtId="2" fontId="30" fillId="0" borderId="0" xfId="0" applyNumberFormat="1" applyFont="1" applyBorder="1" applyAlignment="1" applyProtection="1">
      <alignment horizontal="left"/>
    </xf>
    <xf numFmtId="0" fontId="33" fillId="0" borderId="0" xfId="0" applyFont="1" applyBorder="1" applyAlignment="1" applyProtection="1">
      <alignment horizontal="left"/>
    </xf>
    <xf numFmtId="4" fontId="30" fillId="0" borderId="0" xfId="0" applyNumberFormat="1" applyFont="1" applyBorder="1" applyAlignment="1" applyProtection="1">
      <alignment horizontal="left"/>
    </xf>
    <xf numFmtId="169" fontId="30" fillId="0" borderId="0" xfId="0" applyNumberFormat="1" applyFont="1" applyBorder="1" applyAlignment="1" applyProtection="1">
      <alignment horizontal="left"/>
    </xf>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3" xfId="0" applyFont="1" applyFill="1" applyBorder="1"/>
    <xf numFmtId="0" fontId="15" fillId="4" borderId="4" xfId="0" applyFont="1" applyFill="1" applyBorder="1"/>
    <xf numFmtId="0" fontId="15" fillId="4" borderId="5" xfId="0" applyFont="1" applyFill="1" applyBorder="1"/>
    <xf numFmtId="0" fontId="15" fillId="4" borderId="6" xfId="0" applyFont="1" applyFill="1" applyBorder="1"/>
    <xf numFmtId="0" fontId="15" fillId="5" borderId="0" xfId="0" applyFont="1" applyFill="1" applyBorder="1" applyAlignment="1" applyProtection="1">
      <protection locked="0"/>
    </xf>
    <xf numFmtId="0" fontId="16" fillId="4" borderId="6" xfId="0" applyFont="1" applyFill="1" applyBorder="1"/>
    <xf numFmtId="166" fontId="15" fillId="4" borderId="0" xfId="0" applyNumberFormat="1" applyFont="1" applyFill="1" applyBorder="1"/>
    <xf numFmtId="0" fontId="16" fillId="4" borderId="6" xfId="0" applyFont="1" applyFill="1" applyBorder="1" applyAlignment="1">
      <alignment horizontal="right"/>
    </xf>
    <xf numFmtId="0" fontId="15" fillId="4" borderId="6" xfId="0" applyFont="1" applyFill="1" applyBorder="1" applyAlignment="1">
      <alignment horizontal="right"/>
    </xf>
    <xf numFmtId="0" fontId="12" fillId="3" borderId="1" xfId="0" applyFont="1" applyFill="1" applyBorder="1"/>
    <xf numFmtId="0" fontId="12" fillId="3" borderId="2" xfId="0" applyFont="1" applyFill="1" applyBorder="1"/>
    <xf numFmtId="0" fontId="12" fillId="3" borderId="8" xfId="0" applyFont="1" applyFill="1" applyBorder="1"/>
    <xf numFmtId="0" fontId="38" fillId="2" borderId="0" xfId="0" applyFont="1" applyFill="1" applyProtection="1"/>
    <xf numFmtId="0" fontId="38" fillId="2" borderId="0" xfId="0" applyFont="1" applyFill="1"/>
    <xf numFmtId="0" fontId="38" fillId="4" borderId="6" xfId="0" applyFont="1" applyFill="1" applyBorder="1" applyProtection="1"/>
    <xf numFmtId="0" fontId="38" fillId="4" borderId="0" xfId="0" applyFont="1" applyFill="1" applyBorder="1" applyProtection="1"/>
    <xf numFmtId="0" fontId="38" fillId="4" borderId="7" xfId="0" applyFont="1" applyFill="1" applyBorder="1" applyProtection="1"/>
    <xf numFmtId="0" fontId="38" fillId="4" borderId="0" xfId="0" applyFont="1" applyFill="1" applyBorder="1" applyAlignment="1" applyProtection="1">
      <alignment horizontal="center"/>
    </xf>
    <xf numFmtId="0" fontId="15" fillId="3" borderId="2" xfId="0" applyFont="1" applyFill="1" applyBorder="1" applyAlignment="1" applyProtection="1">
      <alignment horizontal="center"/>
    </xf>
    <xf numFmtId="0" fontId="15" fillId="4" borderId="0" xfId="0" applyFont="1" applyFill="1" applyBorder="1" applyAlignment="1" applyProtection="1">
      <protection locked="0"/>
    </xf>
    <xf numFmtId="0" fontId="12" fillId="3" borderId="1" xfId="0" applyFont="1" applyFill="1" applyBorder="1" applyProtection="1"/>
    <xf numFmtId="0" fontId="12" fillId="3" borderId="2" xfId="0" applyFont="1" applyFill="1" applyBorder="1" applyProtection="1"/>
    <xf numFmtId="0" fontId="39" fillId="4" borderId="6" xfId="0" applyFont="1" applyFill="1" applyBorder="1" applyProtection="1"/>
    <xf numFmtId="0" fontId="39" fillId="4" borderId="0" xfId="0" applyFont="1" applyFill="1" applyBorder="1" applyProtection="1"/>
    <xf numFmtId="0" fontId="39" fillId="4" borderId="0" xfId="0" applyFont="1" applyFill="1" applyBorder="1" applyAlignment="1" applyProtection="1">
      <alignment horizontal="left"/>
    </xf>
    <xf numFmtId="0" fontId="39" fillId="4" borderId="0" xfId="0" applyFont="1" applyFill="1" applyBorder="1" applyAlignment="1" applyProtection="1">
      <alignment horizontal="center"/>
    </xf>
    <xf numFmtId="0" fontId="39" fillId="4" borderId="0" xfId="0" applyFont="1" applyFill="1" applyBorder="1" applyAlignment="1" applyProtection="1">
      <alignment horizontal="right"/>
    </xf>
    <xf numFmtId="0" fontId="39" fillId="4" borderId="7" xfId="0" applyFont="1" applyFill="1" applyBorder="1" applyProtection="1"/>
    <xf numFmtId="0" fontId="39" fillId="2" borderId="0" xfId="0" applyFont="1" applyFill="1" applyProtection="1"/>
    <xf numFmtId="0" fontId="39" fillId="4" borderId="6" xfId="0" applyFont="1" applyFill="1" applyBorder="1"/>
    <xf numFmtId="0" fontId="39" fillId="4" borderId="0" xfId="0" applyFont="1" applyFill="1" applyBorder="1"/>
    <xf numFmtId="0" fontId="39" fillId="4" borderId="7" xfId="0" applyFont="1" applyFill="1" applyBorder="1"/>
    <xf numFmtId="0" fontId="39" fillId="2" borderId="0" xfId="0" applyFont="1" applyFill="1"/>
    <xf numFmtId="0" fontId="40" fillId="4" borderId="6" xfId="0" applyFont="1" applyFill="1" applyBorder="1" applyProtection="1"/>
    <xf numFmtId="0" fontId="40" fillId="4" borderId="0" xfId="0" applyFont="1" applyFill="1" applyBorder="1" applyProtection="1"/>
    <xf numFmtId="0" fontId="40" fillId="4" borderId="7" xfId="0" applyFont="1" applyFill="1" applyBorder="1" applyProtection="1"/>
    <xf numFmtId="0" fontId="40" fillId="2" borderId="0" xfId="0" applyFont="1" applyFill="1" applyProtection="1"/>
    <xf numFmtId="0" fontId="40" fillId="2" borderId="0" xfId="0" applyFont="1" applyFill="1"/>
    <xf numFmtId="0" fontId="17" fillId="4" borderId="0" xfId="0" applyFont="1" applyFill="1" applyBorder="1" applyProtection="1"/>
    <xf numFmtId="0" fontId="30" fillId="2" borderId="0" xfId="0" applyFont="1" applyFill="1"/>
    <xf numFmtId="0" fontId="31" fillId="2" borderId="0" xfId="0" applyFont="1" applyFill="1" applyAlignment="1">
      <alignment horizontal="right"/>
    </xf>
    <xf numFmtId="0" fontId="41" fillId="2" borderId="0" xfId="0" applyFont="1" applyFill="1"/>
    <xf numFmtId="0" fontId="30" fillId="4" borderId="0" xfId="0" applyFont="1" applyFill="1"/>
    <xf numFmtId="0" fontId="30" fillId="4" borderId="0" xfId="0" applyFont="1" applyFill="1" applyBorder="1"/>
    <xf numFmtId="0" fontId="41" fillId="4" borderId="0" xfId="0" applyFont="1" applyFill="1" applyBorder="1"/>
    <xf numFmtId="0" fontId="41" fillId="4" borderId="0" xfId="0" applyFont="1" applyFill="1" applyBorder="1" applyAlignment="1">
      <alignment horizontal="right"/>
    </xf>
    <xf numFmtId="0" fontId="31" fillId="4" borderId="0" xfId="0" applyFont="1" applyFill="1" applyBorder="1"/>
    <xf numFmtId="0" fontId="31" fillId="4" borderId="0" xfId="0" applyFont="1" applyFill="1" applyBorder="1" applyAlignment="1">
      <alignment horizontal="right"/>
    </xf>
    <xf numFmtId="0" fontId="43" fillId="4" borderId="0" xfId="0" applyFont="1" applyFill="1" applyBorder="1"/>
    <xf numFmtId="0" fontId="30" fillId="3" borderId="0" xfId="0" applyFont="1" applyFill="1" applyBorder="1"/>
    <xf numFmtId="0" fontId="17" fillId="2" borderId="0" xfId="0" applyFont="1" applyFill="1" applyAlignment="1" applyProtection="1">
      <alignment horizontal="left"/>
    </xf>
    <xf numFmtId="165" fontId="15" fillId="2" borderId="0" xfId="3" applyNumberFormat="1" applyFont="1" applyFill="1" applyProtection="1"/>
    <xf numFmtId="165" fontId="15" fillId="2" borderId="0" xfId="3" applyNumberFormat="1" applyFont="1" applyFill="1" applyAlignment="1" applyProtection="1">
      <alignment horizontal="center"/>
    </xf>
    <xf numFmtId="165" fontId="15" fillId="2" borderId="0" xfId="3" applyNumberFormat="1" applyFont="1" applyFill="1"/>
    <xf numFmtId="166" fontId="15" fillId="4" borderId="7" xfId="0" applyNumberFormat="1" applyFont="1" applyFill="1" applyBorder="1" applyProtection="1"/>
    <xf numFmtId="166" fontId="16" fillId="4" borderId="7" xfId="0" applyNumberFormat="1" applyFont="1" applyFill="1" applyBorder="1" applyProtection="1"/>
    <xf numFmtId="166" fontId="12" fillId="3" borderId="8" xfId="0" applyNumberFormat="1" applyFont="1" applyFill="1" applyBorder="1" applyProtection="1"/>
    <xf numFmtId="166" fontId="15" fillId="2" borderId="0" xfId="0" applyNumberFormat="1" applyFont="1" applyFill="1" applyProtection="1"/>
    <xf numFmtId="166" fontId="15" fillId="3" borderId="8" xfId="0" applyNumberFormat="1" applyFont="1" applyFill="1" applyBorder="1" applyProtection="1"/>
    <xf numFmtId="166" fontId="12" fillId="3" borderId="2" xfId="0" applyNumberFormat="1" applyFont="1" applyFill="1" applyBorder="1"/>
    <xf numFmtId="166" fontId="15" fillId="2" borderId="0" xfId="0" applyNumberFormat="1" applyFont="1" applyFill="1"/>
    <xf numFmtId="166" fontId="15" fillId="2" borderId="0" xfId="3" applyNumberFormat="1" applyFont="1" applyFill="1" applyProtection="1"/>
    <xf numFmtId="166" fontId="19" fillId="2" borderId="0" xfId="3" applyNumberFormat="1" applyFont="1" applyFill="1" applyProtection="1"/>
    <xf numFmtId="166" fontId="15" fillId="2" borderId="0" xfId="3" applyNumberFormat="1" applyFont="1" applyFill="1" applyAlignment="1" applyProtection="1">
      <alignment horizontal="center"/>
    </xf>
    <xf numFmtId="166" fontId="19" fillId="2" borderId="0" xfId="3" applyNumberFormat="1" applyFont="1" applyFill="1" applyAlignment="1" applyProtection="1">
      <alignment horizontal="center"/>
    </xf>
    <xf numFmtId="166" fontId="15" fillId="2" borderId="0" xfId="3" applyNumberFormat="1" applyFont="1" applyFill="1"/>
    <xf numFmtId="166" fontId="19" fillId="2" borderId="0" xfId="3" applyNumberFormat="1" applyFont="1" applyFill="1"/>
    <xf numFmtId="166" fontId="19" fillId="2" borderId="0" xfId="0" applyNumberFormat="1" applyFont="1" applyFill="1"/>
    <xf numFmtId="166" fontId="19" fillId="2" borderId="0" xfId="0" applyNumberFormat="1" applyFont="1" applyFill="1" applyProtection="1"/>
    <xf numFmtId="0" fontId="44" fillId="4" borderId="0" xfId="0" applyFont="1" applyFill="1" applyBorder="1"/>
    <xf numFmtId="166" fontId="30" fillId="4" borderId="0" xfId="0" applyNumberFormat="1" applyFont="1" applyFill="1" applyBorder="1"/>
    <xf numFmtId="0" fontId="45" fillId="4" borderId="0" xfId="0" applyFont="1" applyFill="1" applyBorder="1"/>
    <xf numFmtId="166" fontId="46" fillId="4" borderId="0" xfId="3" applyNumberFormat="1" applyFont="1" applyFill="1" applyBorder="1"/>
    <xf numFmtId="166" fontId="46" fillId="4" borderId="0" xfId="0" applyNumberFormat="1" applyFont="1" applyFill="1" applyBorder="1"/>
    <xf numFmtId="166" fontId="30" fillId="4" borderId="0" xfId="3" applyNumberFormat="1" applyFont="1" applyFill="1" applyBorder="1"/>
    <xf numFmtId="165" fontId="30" fillId="4" borderId="0" xfId="3" applyNumberFormat="1" applyFont="1" applyFill="1" applyBorder="1"/>
    <xf numFmtId="0" fontId="47" fillId="4" borderId="0" xfId="1" applyFont="1" applyFill="1" applyBorder="1" applyAlignment="1" applyProtection="1"/>
    <xf numFmtId="0" fontId="48" fillId="4" borderId="6" xfId="0" applyFont="1" applyFill="1" applyBorder="1" applyProtection="1"/>
    <xf numFmtId="0" fontId="48" fillId="4" borderId="7" xfId="0" applyFont="1" applyFill="1" applyBorder="1" applyProtection="1"/>
    <xf numFmtId="0" fontId="48" fillId="2" borderId="0" xfId="0" applyFont="1" applyFill="1" applyProtection="1"/>
    <xf numFmtId="0" fontId="30" fillId="2" borderId="0" xfId="0" applyFont="1" applyFill="1" applyBorder="1" applyAlignment="1" applyProtection="1">
      <alignment horizontal="left"/>
    </xf>
    <xf numFmtId="49" fontId="30" fillId="2" borderId="0" xfId="0" applyNumberFormat="1" applyFont="1" applyFill="1" applyBorder="1" applyAlignment="1" applyProtection="1">
      <alignment horizontal="left"/>
    </xf>
    <xf numFmtId="0" fontId="11" fillId="4" borderId="4" xfId="0" applyFont="1" applyFill="1" applyBorder="1"/>
    <xf numFmtId="0" fontId="11" fillId="4" borderId="0" xfId="0" applyFont="1" applyFill="1" applyBorder="1"/>
    <xf numFmtId="0" fontId="50" fillId="4" borderId="0" xfId="0" applyFont="1" applyFill="1" applyBorder="1"/>
    <xf numFmtId="166" fontId="11" fillId="4" borderId="0" xfId="0" applyNumberFormat="1" applyFont="1" applyFill="1" applyBorder="1"/>
    <xf numFmtId="0" fontId="11" fillId="2" borderId="0" xfId="0" applyFont="1" applyFill="1"/>
    <xf numFmtId="0" fontId="12" fillId="2" borderId="0" xfId="0" applyFont="1" applyFill="1" applyBorder="1" applyProtection="1"/>
    <xf numFmtId="166" fontId="12" fillId="2" borderId="0" xfId="0" applyNumberFormat="1" applyFont="1" applyFill="1" applyBorder="1" applyProtection="1"/>
    <xf numFmtId="166" fontId="13" fillId="2" borderId="0" xfId="0" applyNumberFormat="1" applyFont="1" applyFill="1" applyBorder="1" applyAlignment="1" applyProtection="1">
      <alignment horizontal="right"/>
    </xf>
    <xf numFmtId="0" fontId="29" fillId="4" borderId="0" xfId="0" applyFont="1" applyFill="1" applyBorder="1" applyAlignment="1" applyProtection="1">
      <alignment horizontal="center"/>
    </xf>
    <xf numFmtId="0" fontId="29" fillId="4" borderId="0" xfId="0" applyFont="1" applyFill="1" applyBorder="1" applyAlignment="1" applyProtection="1">
      <alignment horizontal="right"/>
    </xf>
    <xf numFmtId="0" fontId="15" fillId="5" borderId="9" xfId="0" applyFont="1" applyFill="1" applyBorder="1" applyProtection="1"/>
    <xf numFmtId="0" fontId="15" fillId="5" borderId="10" xfId="0" applyFont="1" applyFill="1" applyBorder="1" applyProtection="1"/>
    <xf numFmtId="0" fontId="20" fillId="5" borderId="10" xfId="0" applyFont="1" applyFill="1" applyBorder="1" applyProtection="1"/>
    <xf numFmtId="0" fontId="15" fillId="5" borderId="10" xfId="0" applyFont="1" applyFill="1" applyBorder="1" applyAlignment="1" applyProtection="1">
      <alignment horizontal="left"/>
    </xf>
    <xf numFmtId="0" fontId="15" fillId="5" borderId="10" xfId="0" applyFont="1" applyFill="1" applyBorder="1" applyAlignment="1" applyProtection="1">
      <alignment horizontal="center"/>
    </xf>
    <xf numFmtId="0" fontId="15" fillId="5" borderId="10" xfId="0" applyFont="1" applyFill="1" applyBorder="1"/>
    <xf numFmtId="0" fontId="15" fillId="5" borderId="11" xfId="0" applyFont="1" applyFill="1" applyBorder="1" applyProtection="1"/>
    <xf numFmtId="0" fontId="15" fillId="5" borderId="12" xfId="0" applyFont="1" applyFill="1" applyBorder="1" applyProtection="1"/>
    <xf numFmtId="0" fontId="18" fillId="5" borderId="13" xfId="0" applyFont="1" applyFill="1" applyBorder="1" applyProtection="1"/>
    <xf numFmtId="0" fontId="20" fillId="5" borderId="13" xfId="0" applyFont="1" applyFill="1" applyBorder="1" applyProtection="1"/>
    <xf numFmtId="0" fontId="15" fillId="5" borderId="13" xfId="0" applyFont="1" applyFill="1" applyBorder="1" applyAlignment="1" applyProtection="1">
      <alignment horizontal="left"/>
    </xf>
    <xf numFmtId="0" fontId="15" fillId="5" borderId="13" xfId="0" applyFont="1" applyFill="1" applyBorder="1" applyAlignment="1" applyProtection="1">
      <alignment horizontal="center"/>
    </xf>
    <xf numFmtId="0" fontId="15" fillId="5" borderId="13" xfId="0" applyFont="1" applyFill="1" applyBorder="1" applyProtection="1"/>
    <xf numFmtId="0" fontId="15" fillId="5" borderId="13" xfId="0" applyFont="1" applyFill="1" applyBorder="1"/>
    <xf numFmtId="0" fontId="15" fillId="5" borderId="14" xfId="0" applyFont="1" applyFill="1" applyBorder="1" applyProtection="1"/>
    <xf numFmtId="0" fontId="16" fillId="5" borderId="12" xfId="0" applyFont="1" applyFill="1" applyBorder="1" applyProtection="1"/>
    <xf numFmtId="0" fontId="15" fillId="4" borderId="13" xfId="0" applyFont="1" applyFill="1" applyBorder="1" applyProtection="1">
      <protection locked="0"/>
    </xf>
    <xf numFmtId="0" fontId="12" fillId="4" borderId="13" xfId="0" applyFont="1" applyFill="1" applyBorder="1" applyAlignment="1" applyProtection="1">
      <alignment horizontal="center"/>
    </xf>
    <xf numFmtId="0" fontId="16" fillId="5" borderId="13" xfId="0" applyFont="1" applyFill="1" applyBorder="1" applyAlignment="1" applyProtection="1">
      <alignment horizontal="right"/>
    </xf>
    <xf numFmtId="0" fontId="15" fillId="4" borderId="13" xfId="0" applyFont="1" applyFill="1" applyBorder="1" applyAlignment="1" applyProtection="1">
      <alignment horizontal="center"/>
      <protection locked="0"/>
    </xf>
    <xf numFmtId="0" fontId="21" fillId="5" borderId="13" xfId="0" applyFont="1" applyFill="1" applyBorder="1" applyAlignment="1" applyProtection="1">
      <alignment horizontal="right"/>
    </xf>
    <xf numFmtId="0" fontId="21" fillId="5" borderId="13" xfId="0" applyFont="1" applyFill="1" applyBorder="1" applyProtection="1"/>
    <xf numFmtId="0" fontId="15" fillId="5" borderId="13" xfId="0" applyFont="1" applyFill="1" applyBorder="1" applyProtection="1">
      <protection locked="0"/>
    </xf>
    <xf numFmtId="0" fontId="16" fillId="5" borderId="13" xfId="0" applyFont="1" applyFill="1" applyBorder="1" applyProtection="1"/>
    <xf numFmtId="0" fontId="14" fillId="5" borderId="13" xfId="0" applyFont="1" applyFill="1" applyBorder="1" applyProtection="1"/>
    <xf numFmtId="166" fontId="24" fillId="5" borderId="13" xfId="0" applyNumberFormat="1" applyFont="1" applyFill="1" applyBorder="1" applyAlignment="1" applyProtection="1">
      <alignment horizontal="center"/>
    </xf>
    <xf numFmtId="4" fontId="15" fillId="5" borderId="13" xfId="0" applyNumberFormat="1" applyFont="1" applyFill="1" applyBorder="1" applyProtection="1"/>
    <xf numFmtId="0" fontId="22" fillId="5" borderId="13" xfId="0" applyFont="1" applyFill="1" applyBorder="1" applyAlignment="1" applyProtection="1">
      <alignment horizontal="center"/>
    </xf>
    <xf numFmtId="0" fontId="21" fillId="5" borderId="13" xfId="0" applyFont="1" applyFill="1" applyBorder="1" applyAlignment="1" applyProtection="1">
      <alignment horizontal="left"/>
    </xf>
    <xf numFmtId="168" fontId="15" fillId="4" borderId="13" xfId="0" applyNumberFormat="1" applyFont="1" applyFill="1" applyBorder="1" applyProtection="1">
      <protection locked="0"/>
    </xf>
    <xf numFmtId="168" fontId="15" fillId="5" borderId="13" xfId="0" applyNumberFormat="1" applyFont="1" applyFill="1" applyBorder="1" applyProtection="1">
      <protection locked="0"/>
    </xf>
    <xf numFmtId="0" fontId="15" fillId="4" borderId="13" xfId="0" applyFont="1" applyFill="1" applyBorder="1" applyAlignment="1" applyProtection="1">
      <alignment horizontal="left"/>
      <protection locked="0"/>
    </xf>
    <xf numFmtId="0" fontId="15" fillId="5" borderId="13" xfId="0" applyFont="1" applyFill="1" applyBorder="1" applyAlignment="1" applyProtection="1">
      <alignment horizontal="center"/>
      <protection locked="0"/>
    </xf>
    <xf numFmtId="9" fontId="15" fillId="5" borderId="13" xfId="0" applyNumberFormat="1" applyFont="1" applyFill="1" applyBorder="1" applyAlignment="1" applyProtection="1">
      <alignment horizontal="center"/>
    </xf>
    <xf numFmtId="10" fontId="15" fillId="7" borderId="13" xfId="0" applyNumberFormat="1" applyFont="1" applyFill="1" applyBorder="1" applyAlignment="1" applyProtection="1">
      <alignment horizontal="center"/>
    </xf>
    <xf numFmtId="10" fontId="15" fillId="5" borderId="13" xfId="0" applyNumberFormat="1" applyFont="1" applyFill="1" applyBorder="1" applyAlignment="1" applyProtection="1">
      <alignment horizontal="center"/>
    </xf>
    <xf numFmtId="0" fontId="16" fillId="5" borderId="13" xfId="0" applyFont="1" applyFill="1" applyBorder="1" applyAlignment="1" applyProtection="1">
      <alignment horizontal="left"/>
    </xf>
    <xf numFmtId="0" fontId="16" fillId="5" borderId="13" xfId="0" applyFont="1" applyFill="1" applyBorder="1" applyAlignment="1" applyProtection="1">
      <alignment horizontal="center"/>
    </xf>
    <xf numFmtId="4" fontId="16" fillId="5" borderId="13" xfId="0" applyNumberFormat="1" applyFont="1" applyFill="1" applyBorder="1" applyProtection="1"/>
    <xf numFmtId="0" fontId="22" fillId="5" borderId="13" xfId="0" applyFont="1" applyFill="1" applyBorder="1" applyProtection="1"/>
    <xf numFmtId="0" fontId="16" fillId="5" borderId="14" xfId="0" applyFont="1" applyFill="1" applyBorder="1" applyProtection="1"/>
    <xf numFmtId="166" fontId="15" fillId="5" borderId="13" xfId="0" applyNumberFormat="1" applyFont="1" applyFill="1" applyBorder="1" applyProtection="1"/>
    <xf numFmtId="0" fontId="15" fillId="5" borderId="13" xfId="0" applyFont="1" applyFill="1" applyBorder="1" applyAlignment="1">
      <alignment horizontal="center"/>
    </xf>
    <xf numFmtId="166" fontId="21" fillId="5" borderId="13" xfId="0" applyNumberFormat="1" applyFont="1" applyFill="1" applyBorder="1" applyProtection="1"/>
    <xf numFmtId="0" fontId="19" fillId="5" borderId="12" xfId="0" applyFont="1" applyFill="1" applyBorder="1" applyProtection="1"/>
    <xf numFmtId="0" fontId="19" fillId="5" borderId="13" xfId="0" applyFont="1" applyFill="1" applyBorder="1" applyAlignment="1" applyProtection="1">
      <alignment horizontal="left"/>
    </xf>
    <xf numFmtId="0" fontId="19" fillId="5" borderId="13" xfId="0" applyFont="1" applyFill="1" applyBorder="1" applyProtection="1"/>
    <xf numFmtId="0" fontId="19" fillId="5" borderId="13" xfId="0" applyFont="1" applyFill="1" applyBorder="1" applyAlignment="1" applyProtection="1">
      <alignment horizontal="center"/>
    </xf>
    <xf numFmtId="4" fontId="19" fillId="5" borderId="13" xfId="0" applyNumberFormat="1" applyFont="1" applyFill="1" applyBorder="1" applyProtection="1"/>
    <xf numFmtId="0" fontId="23" fillId="5" borderId="13" xfId="0" applyFont="1" applyFill="1" applyBorder="1" applyProtection="1"/>
    <xf numFmtId="0" fontId="19" fillId="5" borderId="14" xfId="0" applyFont="1" applyFill="1" applyBorder="1" applyProtection="1"/>
    <xf numFmtId="0" fontId="15" fillId="5" borderId="15" xfId="0" applyFont="1" applyFill="1" applyBorder="1" applyProtection="1"/>
    <xf numFmtId="0" fontId="15" fillId="5" borderId="16" xfId="0" applyFont="1" applyFill="1" applyBorder="1" applyProtection="1"/>
    <xf numFmtId="0" fontId="16" fillId="5" borderId="16" xfId="0" applyFont="1" applyFill="1" applyBorder="1" applyProtection="1"/>
    <xf numFmtId="0" fontId="15" fillId="5" borderId="16" xfId="0" applyFont="1" applyFill="1" applyBorder="1" applyAlignment="1" applyProtection="1">
      <alignment horizontal="left"/>
    </xf>
    <xf numFmtId="0" fontId="15" fillId="5" borderId="16" xfId="0" applyFont="1" applyFill="1" applyBorder="1" applyAlignment="1" applyProtection="1">
      <alignment horizontal="center"/>
    </xf>
    <xf numFmtId="1" fontId="15" fillId="5" borderId="16" xfId="0" applyNumberFormat="1" applyFont="1" applyFill="1" applyBorder="1" applyProtection="1"/>
    <xf numFmtId="0" fontId="21" fillId="5" borderId="16" xfId="0" applyFont="1" applyFill="1" applyBorder="1" applyProtection="1"/>
    <xf numFmtId="1" fontId="15" fillId="5" borderId="17" xfId="0" applyNumberFormat="1" applyFont="1" applyFill="1" applyBorder="1" applyProtection="1"/>
    <xf numFmtId="0" fontId="17" fillId="5" borderId="12" xfId="0" applyFont="1" applyFill="1" applyBorder="1" applyProtection="1"/>
    <xf numFmtId="0" fontId="17" fillId="5" borderId="13" xfId="0" applyFont="1" applyFill="1" applyBorder="1" applyProtection="1"/>
    <xf numFmtId="0" fontId="17" fillId="5" borderId="13" xfId="0" applyFont="1" applyFill="1" applyBorder="1" applyAlignment="1" applyProtection="1">
      <alignment horizontal="left"/>
    </xf>
    <xf numFmtId="0" fontId="17" fillId="5" borderId="13" xfId="0" applyFont="1" applyFill="1" applyBorder="1" applyAlignment="1" applyProtection="1">
      <alignment horizontal="center"/>
    </xf>
    <xf numFmtId="0" fontId="24" fillId="5" borderId="13" xfId="0" applyFont="1" applyFill="1" applyBorder="1" applyAlignment="1" applyProtection="1">
      <alignment horizontal="center"/>
    </xf>
    <xf numFmtId="9" fontId="24" fillId="5" borderId="13" xfId="0" applyNumberFormat="1" applyFont="1" applyFill="1" applyBorder="1" applyAlignment="1" applyProtection="1">
      <alignment horizontal="center"/>
    </xf>
    <xf numFmtId="0" fontId="17" fillId="5" borderId="14" xfId="0" applyFont="1" applyFill="1" applyBorder="1" applyProtection="1"/>
    <xf numFmtId="166" fontId="16" fillId="5" borderId="13" xfId="0" applyNumberFormat="1" applyFont="1" applyFill="1" applyBorder="1" applyAlignment="1" applyProtection="1">
      <alignment horizontal="center"/>
    </xf>
    <xf numFmtId="174" fontId="34" fillId="5" borderId="13" xfId="3" applyNumberFormat="1" applyFont="1" applyFill="1" applyBorder="1" applyAlignment="1" applyProtection="1">
      <alignment horizontal="center"/>
    </xf>
    <xf numFmtId="175" fontId="34" fillId="5" borderId="13" xfId="3" applyNumberFormat="1" applyFont="1" applyFill="1" applyBorder="1" applyAlignment="1" applyProtection="1">
      <alignment horizontal="center"/>
    </xf>
    <xf numFmtId="10" fontId="19" fillId="7" borderId="13" xfId="0" applyNumberFormat="1" applyFont="1" applyFill="1" applyBorder="1" applyAlignment="1" applyProtection="1">
      <alignment horizontal="center"/>
    </xf>
    <xf numFmtId="0" fontId="15" fillId="5" borderId="13" xfId="0" applyFont="1" applyFill="1" applyBorder="1" applyAlignment="1" applyProtection="1">
      <alignment horizontal="right"/>
    </xf>
    <xf numFmtId="10" fontId="19" fillId="5" borderId="13" xfId="0" applyNumberFormat="1" applyFont="1" applyFill="1" applyBorder="1" applyAlignment="1" applyProtection="1">
      <alignment horizontal="center"/>
    </xf>
    <xf numFmtId="166" fontId="16" fillId="5" borderId="13" xfId="0" applyNumberFormat="1" applyFont="1" applyFill="1" applyBorder="1" applyProtection="1"/>
    <xf numFmtId="10" fontId="27" fillId="2" borderId="13" xfId="0" applyNumberFormat="1" applyFont="1" applyFill="1" applyBorder="1" applyAlignment="1" applyProtection="1">
      <alignment horizontal="center"/>
    </xf>
    <xf numFmtId="10" fontId="15" fillId="5" borderId="13" xfId="2" applyNumberFormat="1" applyFont="1" applyFill="1" applyBorder="1" applyProtection="1"/>
    <xf numFmtId="10" fontId="15" fillId="5" borderId="13" xfId="0" applyNumberFormat="1" applyFont="1" applyFill="1" applyBorder="1" applyProtection="1"/>
    <xf numFmtId="10" fontId="29" fillId="5" borderId="13" xfId="0" applyNumberFormat="1" applyFont="1" applyFill="1" applyBorder="1" applyProtection="1"/>
    <xf numFmtId="0" fontId="48" fillId="5" borderId="12" xfId="0" applyFont="1" applyFill="1" applyBorder="1" applyProtection="1"/>
    <xf numFmtId="0" fontId="48" fillId="5" borderId="13" xfId="0" applyFont="1" applyFill="1" applyBorder="1" applyProtection="1"/>
    <xf numFmtId="0" fontId="48" fillId="5" borderId="13" xfId="0" applyFont="1" applyFill="1" applyBorder="1" applyAlignment="1" applyProtection="1">
      <alignment horizontal="left"/>
    </xf>
    <xf numFmtId="0" fontId="48" fillId="5" borderId="13" xfId="0" applyFont="1" applyFill="1" applyBorder="1" applyAlignment="1" applyProtection="1">
      <alignment horizontal="center"/>
    </xf>
    <xf numFmtId="10" fontId="48" fillId="5" borderId="13" xfId="0" applyNumberFormat="1" applyFont="1" applyFill="1" applyBorder="1" applyProtection="1"/>
    <xf numFmtId="0" fontId="48" fillId="5" borderId="14" xfId="0" applyFont="1" applyFill="1" applyBorder="1" applyProtection="1"/>
    <xf numFmtId="166" fontId="15" fillId="5" borderId="16" xfId="0" applyNumberFormat="1" applyFont="1" applyFill="1" applyBorder="1" applyProtection="1"/>
    <xf numFmtId="0" fontId="15" fillId="5" borderId="17" xfId="0" applyFont="1" applyFill="1" applyBorder="1" applyProtection="1"/>
    <xf numFmtId="0" fontId="16" fillId="5" borderId="10" xfId="0" applyFont="1" applyFill="1" applyBorder="1" applyProtection="1"/>
    <xf numFmtId="1" fontId="24" fillId="5" borderId="13" xfId="0" applyNumberFormat="1" applyFont="1" applyFill="1" applyBorder="1" applyAlignment="1" applyProtection="1">
      <alignment horizontal="center"/>
    </xf>
    <xf numFmtId="1" fontId="16" fillId="5" borderId="13" xfId="0" applyNumberFormat="1" applyFont="1" applyFill="1" applyBorder="1" applyProtection="1"/>
    <xf numFmtId="0" fontId="16" fillId="5" borderId="13" xfId="0" applyFont="1" applyFill="1" applyBorder="1" applyAlignment="1" applyProtection="1"/>
    <xf numFmtId="0" fontId="19" fillId="5" borderId="13" xfId="0" applyFont="1" applyFill="1" applyBorder="1" applyAlignment="1" applyProtection="1"/>
    <xf numFmtId="4" fontId="19" fillId="5" borderId="13" xfId="0" applyNumberFormat="1" applyFont="1" applyFill="1" applyBorder="1" applyAlignment="1" applyProtection="1">
      <alignment horizontal="center"/>
    </xf>
    <xf numFmtId="1" fontId="19" fillId="5" borderId="13" xfId="0" applyNumberFormat="1" applyFont="1" applyFill="1" applyBorder="1" applyProtection="1"/>
    <xf numFmtId="0" fontId="27" fillId="5" borderId="12" xfId="0" applyFont="1" applyFill="1" applyBorder="1" applyProtection="1"/>
    <xf numFmtId="0" fontId="27" fillId="5" borderId="13" xfId="0" applyFont="1" applyFill="1" applyBorder="1" applyAlignment="1" applyProtection="1"/>
    <xf numFmtId="0" fontId="27" fillId="5" borderId="13" xfId="0" applyFont="1" applyFill="1" applyBorder="1" applyProtection="1"/>
    <xf numFmtId="0" fontId="27" fillId="5" borderId="13" xfId="0" applyFont="1" applyFill="1" applyBorder="1" applyAlignment="1" applyProtection="1">
      <alignment horizontal="left"/>
    </xf>
    <xf numFmtId="0" fontId="27" fillId="5" borderId="13" xfId="0" applyFont="1" applyFill="1" applyBorder="1" applyAlignment="1" applyProtection="1">
      <alignment horizontal="center"/>
    </xf>
    <xf numFmtId="4" fontId="27" fillId="5" borderId="13" xfId="0" applyNumberFormat="1" applyFont="1" applyFill="1" applyBorder="1" applyAlignment="1" applyProtection="1">
      <alignment horizontal="center"/>
    </xf>
    <xf numFmtId="4" fontId="27" fillId="5" borderId="13" xfId="0" applyNumberFormat="1" applyFont="1" applyFill="1" applyBorder="1" applyProtection="1"/>
    <xf numFmtId="0" fontId="28" fillId="5" borderId="13" xfId="0" applyFont="1" applyFill="1" applyBorder="1" applyProtection="1"/>
    <xf numFmtId="0" fontId="27" fillId="5" borderId="14" xfId="0" applyFont="1" applyFill="1" applyBorder="1" applyProtection="1"/>
    <xf numFmtId="166" fontId="27" fillId="5" borderId="13" xfId="0" applyNumberFormat="1" applyFont="1" applyFill="1" applyBorder="1" applyAlignment="1" applyProtection="1">
      <alignment horizontal="left"/>
    </xf>
    <xf numFmtId="0" fontId="15" fillId="5" borderId="13" xfId="0" applyFont="1" applyFill="1" applyBorder="1" applyAlignment="1" applyProtection="1"/>
    <xf numFmtId="0" fontId="16" fillId="5" borderId="15" xfId="0" applyFont="1" applyFill="1" applyBorder="1" applyAlignment="1" applyProtection="1">
      <alignment horizontal="right"/>
    </xf>
    <xf numFmtId="0" fontId="16" fillId="5" borderId="16" xfId="0" applyFont="1" applyFill="1" applyBorder="1" applyAlignment="1" applyProtection="1">
      <alignment horizontal="right"/>
    </xf>
    <xf numFmtId="0" fontId="16" fillId="5" borderId="12" xfId="0" applyFont="1" applyFill="1" applyBorder="1" applyAlignment="1" applyProtection="1">
      <alignment horizontal="right"/>
    </xf>
    <xf numFmtId="166" fontId="16" fillId="5" borderId="13" xfId="0" applyNumberFormat="1" applyFont="1" applyFill="1" applyBorder="1" applyAlignment="1" applyProtection="1">
      <alignment horizontal="right"/>
    </xf>
    <xf numFmtId="0" fontId="15" fillId="5" borderId="9" xfId="0" applyFont="1" applyFill="1" applyBorder="1"/>
    <xf numFmtId="0" fontId="11" fillId="5" borderId="11" xfId="0" applyFont="1" applyFill="1" applyBorder="1"/>
    <xf numFmtId="0" fontId="15" fillId="5" borderId="12" xfId="0" applyFont="1" applyFill="1" applyBorder="1"/>
    <xf numFmtId="0" fontId="18" fillId="5" borderId="13" xfId="0" applyFont="1" applyFill="1" applyBorder="1"/>
    <xf numFmtId="0" fontId="11" fillId="5" borderId="14" xfId="0" applyFont="1" applyFill="1" applyBorder="1"/>
    <xf numFmtId="0" fontId="15" fillId="4" borderId="13" xfId="0" applyFont="1" applyFill="1" applyBorder="1" applyAlignment="1" applyProtection="1">
      <protection locked="0"/>
    </xf>
    <xf numFmtId="0" fontId="15" fillId="5" borderId="13" xfId="0" applyFont="1" applyFill="1" applyBorder="1" applyAlignment="1" applyProtection="1">
      <protection locked="0"/>
    </xf>
    <xf numFmtId="0" fontId="15" fillId="5" borderId="13" xfId="0" applyFont="1" applyFill="1" applyBorder="1" applyAlignment="1" applyProtection="1">
      <alignment horizontal="left"/>
      <protection locked="0"/>
    </xf>
    <xf numFmtId="0" fontId="16" fillId="5" borderId="12" xfId="0" applyFont="1" applyFill="1" applyBorder="1"/>
    <xf numFmtId="0" fontId="16" fillId="5" borderId="13" xfId="0" applyFont="1" applyFill="1" applyBorder="1"/>
    <xf numFmtId="0" fontId="14" fillId="5" borderId="14" xfId="0" applyFont="1" applyFill="1" applyBorder="1"/>
    <xf numFmtId="0" fontId="15" fillId="5" borderId="13" xfId="0" applyFont="1" applyFill="1" applyBorder="1" applyAlignment="1">
      <alignment horizontal="right"/>
    </xf>
    <xf numFmtId="166" fontId="15" fillId="5" borderId="13" xfId="0" applyNumberFormat="1" applyFont="1" applyFill="1" applyBorder="1" applyAlignment="1">
      <alignment horizontal="center"/>
    </xf>
    <xf numFmtId="166" fontId="15" fillId="7" borderId="13" xfId="0" applyNumberFormat="1" applyFont="1" applyFill="1" applyBorder="1" applyAlignment="1">
      <alignment horizontal="center"/>
    </xf>
    <xf numFmtId="166" fontId="15" fillId="5" borderId="13" xfId="0" applyNumberFormat="1" applyFont="1" applyFill="1" applyBorder="1" applyAlignment="1">
      <alignment horizontal="right"/>
    </xf>
    <xf numFmtId="166" fontId="15" fillId="7" borderId="13" xfId="0" applyNumberFormat="1" applyFont="1" applyFill="1" applyBorder="1" applyAlignment="1">
      <alignment horizontal="right"/>
    </xf>
    <xf numFmtId="0" fontId="15" fillId="5" borderId="15" xfId="0" applyFont="1" applyFill="1" applyBorder="1"/>
    <xf numFmtId="0" fontId="15" fillId="5" borderId="16" xfId="0" applyFont="1" applyFill="1" applyBorder="1"/>
    <xf numFmtId="166" fontId="15" fillId="5" borderId="16" xfId="0" applyNumberFormat="1" applyFont="1" applyFill="1" applyBorder="1" applyAlignment="1">
      <alignment horizontal="right"/>
    </xf>
    <xf numFmtId="0" fontId="11" fillId="5" borderId="17" xfId="0" applyFont="1" applyFill="1" applyBorder="1"/>
    <xf numFmtId="0" fontId="34" fillId="5" borderId="13" xfId="0" applyFont="1" applyFill="1" applyBorder="1" applyAlignment="1">
      <alignment horizontal="center"/>
    </xf>
    <xf numFmtId="0" fontId="16" fillId="5" borderId="13" xfId="0" applyFont="1" applyFill="1" applyBorder="1" applyAlignment="1">
      <alignment horizontal="center"/>
    </xf>
    <xf numFmtId="0" fontId="14" fillId="5" borderId="14" xfId="0" applyFont="1" applyFill="1" applyBorder="1" applyAlignment="1">
      <alignment horizontal="center"/>
    </xf>
    <xf numFmtId="0" fontId="17" fillId="5" borderId="13" xfId="0" applyFont="1" applyFill="1" applyBorder="1"/>
    <xf numFmtId="0" fontId="17" fillId="5" borderId="13" xfId="0" applyFont="1" applyFill="1" applyBorder="1" applyAlignment="1">
      <alignment horizontal="center"/>
    </xf>
    <xf numFmtId="0" fontId="11" fillId="5" borderId="14" xfId="0" applyFont="1" applyFill="1" applyBorder="1" applyAlignment="1">
      <alignment horizontal="center"/>
    </xf>
    <xf numFmtId="0" fontId="15" fillId="7" borderId="13" xfId="0" applyFont="1" applyFill="1" applyBorder="1" applyAlignment="1">
      <alignment horizontal="center"/>
    </xf>
    <xf numFmtId="173" fontId="15" fillId="7" borderId="13" xfId="0" applyNumberFormat="1" applyFont="1" applyFill="1" applyBorder="1" applyAlignment="1">
      <alignment horizontal="center"/>
    </xf>
    <xf numFmtId="1" fontId="15" fillId="4" borderId="13" xfId="0" applyNumberFormat="1" applyFont="1" applyFill="1" applyBorder="1" applyAlignment="1" applyProtection="1">
      <alignment horizontal="center"/>
      <protection locked="0"/>
    </xf>
    <xf numFmtId="10" fontId="15" fillId="5" borderId="13" xfId="0" applyNumberFormat="1" applyFont="1" applyFill="1" applyBorder="1" applyAlignment="1">
      <alignment horizontal="center"/>
    </xf>
    <xf numFmtId="10" fontId="15" fillId="7" borderId="13" xfId="0" applyNumberFormat="1" applyFont="1" applyFill="1" applyBorder="1" applyAlignment="1">
      <alignment horizontal="center"/>
    </xf>
    <xf numFmtId="0" fontId="35" fillId="5" borderId="13" xfId="0" applyFont="1" applyFill="1" applyBorder="1" applyAlignment="1">
      <alignment horizontal="center"/>
    </xf>
    <xf numFmtId="0" fontId="11" fillId="5" borderId="14" xfId="0" applyFont="1" applyFill="1" applyBorder="1" applyAlignment="1" applyProtection="1">
      <alignment horizontal="center"/>
    </xf>
    <xf numFmtId="166" fontId="15" fillId="5" borderId="13" xfId="0" applyNumberFormat="1" applyFont="1" applyFill="1" applyBorder="1" applyAlignment="1" applyProtection="1">
      <alignment horizontal="center"/>
    </xf>
    <xf numFmtId="166" fontId="15" fillId="7" borderId="13" xfId="0" applyNumberFormat="1" applyFont="1" applyFill="1" applyBorder="1" applyAlignment="1" applyProtection="1">
      <alignment horizontal="center"/>
    </xf>
    <xf numFmtId="166" fontId="51" fillId="5" borderId="14" xfId="0" applyNumberFormat="1" applyFont="1" applyFill="1" applyBorder="1" applyAlignment="1" applyProtection="1">
      <alignment horizontal="center"/>
    </xf>
    <xf numFmtId="166" fontId="51" fillId="5" borderId="14" xfId="0" applyNumberFormat="1" applyFont="1" applyFill="1" applyBorder="1" applyAlignment="1">
      <alignment horizontal="center"/>
    </xf>
    <xf numFmtId="0" fontId="51" fillId="5" borderId="14" xfId="0" applyFont="1" applyFill="1" applyBorder="1" applyAlignment="1">
      <alignment horizontal="center"/>
    </xf>
    <xf numFmtId="10" fontId="16" fillId="5" borderId="13" xfId="0" applyNumberFormat="1" applyFont="1" applyFill="1" applyBorder="1" applyAlignment="1">
      <alignment horizontal="center"/>
    </xf>
    <xf numFmtId="166" fontId="16" fillId="2" borderId="13" xfId="0" applyNumberFormat="1" applyFont="1" applyFill="1" applyBorder="1" applyAlignment="1">
      <alignment horizontal="center"/>
    </xf>
    <xf numFmtId="0" fontId="49" fillId="5" borderId="14" xfId="0" applyFont="1" applyFill="1" applyBorder="1" applyAlignment="1">
      <alignment horizontal="center"/>
    </xf>
    <xf numFmtId="0" fontId="19" fillId="5" borderId="13" xfId="0" applyFont="1" applyFill="1" applyBorder="1"/>
    <xf numFmtId="0" fontId="19" fillId="5" borderId="13" xfId="0" applyFont="1" applyFill="1" applyBorder="1" applyAlignment="1">
      <alignment horizontal="center"/>
    </xf>
    <xf numFmtId="166" fontId="19" fillId="7" borderId="13" xfId="0" applyNumberFormat="1" applyFont="1" applyFill="1" applyBorder="1" applyAlignment="1">
      <alignment horizontal="center"/>
    </xf>
    <xf numFmtId="171" fontId="16" fillId="5" borderId="13" xfId="0" applyNumberFormat="1" applyFont="1" applyFill="1" applyBorder="1" applyAlignment="1" applyProtection="1">
      <alignment horizontal="center"/>
      <protection locked="0"/>
    </xf>
    <xf numFmtId="0" fontId="51" fillId="5" borderId="13" xfId="0" applyFont="1" applyFill="1" applyBorder="1"/>
    <xf numFmtId="166" fontId="51" fillId="5" borderId="13" xfId="0" applyNumberFormat="1" applyFont="1" applyFill="1" applyBorder="1" applyAlignment="1">
      <alignment horizontal="center"/>
    </xf>
    <xf numFmtId="166" fontId="11" fillId="5" borderId="14" xfId="0" applyNumberFormat="1" applyFont="1" applyFill="1" applyBorder="1"/>
    <xf numFmtId="166" fontId="36" fillId="5" borderId="16" xfId="0" applyNumberFormat="1" applyFont="1" applyFill="1" applyBorder="1" applyAlignment="1">
      <alignment horizontal="center"/>
    </xf>
    <xf numFmtId="166" fontId="11" fillId="5" borderId="17" xfId="0" applyNumberFormat="1" applyFont="1" applyFill="1" applyBorder="1"/>
    <xf numFmtId="166" fontId="15" fillId="5" borderId="10" xfId="0" applyNumberFormat="1" applyFont="1" applyFill="1" applyBorder="1"/>
    <xf numFmtId="0" fontId="16" fillId="5" borderId="12" xfId="0" applyFont="1" applyFill="1" applyBorder="1" applyAlignment="1">
      <alignment horizontal="right"/>
    </xf>
    <xf numFmtId="0" fontId="15" fillId="5" borderId="12" xfId="0" applyFont="1" applyFill="1" applyBorder="1" applyAlignment="1">
      <alignment horizontal="right"/>
    </xf>
    <xf numFmtId="166" fontId="15" fillId="5" borderId="13" xfId="0" applyNumberFormat="1" applyFont="1" applyFill="1" applyBorder="1"/>
    <xf numFmtId="166" fontId="15" fillId="5" borderId="13" xfId="0" applyNumberFormat="1" applyFont="1" applyFill="1" applyBorder="1" applyAlignment="1" applyProtection="1">
      <protection locked="0"/>
    </xf>
    <xf numFmtId="3" fontId="15" fillId="5" borderId="13" xfId="0" applyNumberFormat="1" applyFont="1" applyFill="1" applyBorder="1" applyProtection="1">
      <protection locked="0"/>
    </xf>
    <xf numFmtId="3" fontId="15" fillId="4" borderId="13" xfId="0" applyNumberFormat="1" applyFont="1" applyFill="1" applyBorder="1" applyAlignment="1" applyProtection="1">
      <alignment horizontal="center"/>
      <protection locked="0"/>
    </xf>
    <xf numFmtId="166" fontId="29" fillId="5" borderId="13" xfId="0" applyNumberFormat="1" applyFont="1" applyFill="1" applyBorder="1"/>
    <xf numFmtId="0" fontId="37" fillId="5" borderId="13" xfId="0" applyFont="1" applyFill="1" applyBorder="1"/>
    <xf numFmtId="171" fontId="15" fillId="5" borderId="13" xfId="0" applyNumberFormat="1" applyFont="1" applyFill="1" applyBorder="1" applyProtection="1">
      <protection locked="0"/>
    </xf>
    <xf numFmtId="171" fontId="15" fillId="4" borderId="13" xfId="0" applyNumberFormat="1" applyFont="1" applyFill="1" applyBorder="1" applyAlignment="1" applyProtection="1">
      <alignment horizontal="center"/>
      <protection locked="0"/>
    </xf>
    <xf numFmtId="171" fontId="15" fillId="7" borderId="13" xfId="0" applyNumberFormat="1" applyFont="1" applyFill="1" applyBorder="1" applyAlignment="1" applyProtection="1">
      <alignment horizontal="center"/>
      <protection locked="0"/>
    </xf>
    <xf numFmtId="0" fontId="15" fillId="7" borderId="13" xfId="0" applyFont="1" applyFill="1" applyBorder="1" applyAlignment="1" applyProtection="1">
      <alignment horizontal="center"/>
      <protection locked="0"/>
    </xf>
    <xf numFmtId="3" fontId="15" fillId="5" borderId="13" xfId="0" applyNumberFormat="1" applyFont="1" applyFill="1" applyBorder="1"/>
    <xf numFmtId="3" fontId="15" fillId="7" borderId="13" xfId="0" applyNumberFormat="1" applyFont="1" applyFill="1" applyBorder="1" applyAlignment="1">
      <alignment horizontal="center"/>
    </xf>
    <xf numFmtId="165" fontId="15" fillId="5" borderId="13" xfId="0" applyNumberFormat="1" applyFont="1" applyFill="1" applyBorder="1" applyProtection="1">
      <protection locked="0"/>
    </xf>
    <xf numFmtId="165" fontId="15" fillId="7" borderId="13" xfId="0" applyNumberFormat="1" applyFont="1" applyFill="1" applyBorder="1" applyAlignment="1" applyProtection="1">
      <alignment horizontal="center"/>
      <protection locked="0"/>
    </xf>
    <xf numFmtId="165" fontId="16" fillId="5" borderId="13" xfId="0" applyNumberFormat="1" applyFont="1" applyFill="1" applyBorder="1"/>
    <xf numFmtId="165" fontId="16" fillId="2" borderId="13" xfId="0" applyNumberFormat="1" applyFont="1" applyFill="1" applyBorder="1" applyAlignment="1">
      <alignment horizontal="center"/>
    </xf>
    <xf numFmtId="166" fontId="36" fillId="5" borderId="13" xfId="0" applyNumberFormat="1" applyFont="1" applyFill="1" applyBorder="1"/>
    <xf numFmtId="0" fontId="42" fillId="5" borderId="13" xfId="0" applyFont="1" applyFill="1" applyBorder="1"/>
    <xf numFmtId="166" fontId="15" fillId="5" borderId="16" xfId="0" applyNumberFormat="1" applyFont="1" applyFill="1" applyBorder="1"/>
    <xf numFmtId="0" fontId="29" fillId="5" borderId="13" xfId="0" applyFont="1" applyFill="1" applyBorder="1" applyAlignment="1" applyProtection="1">
      <alignment horizontal="right"/>
    </xf>
    <xf numFmtId="0" fontId="29" fillId="5" borderId="13" xfId="0" applyFont="1" applyFill="1" applyBorder="1" applyAlignment="1" applyProtection="1">
      <alignment horizontal="center"/>
    </xf>
    <xf numFmtId="168" fontId="15" fillId="4" borderId="13" xfId="0" applyNumberFormat="1" applyFont="1" applyFill="1" applyBorder="1" applyAlignment="1" applyProtection="1">
      <alignment horizontal="center"/>
      <protection locked="0"/>
    </xf>
    <xf numFmtId="0" fontId="15" fillId="5" borderId="14" xfId="0" applyFont="1" applyFill="1" applyBorder="1"/>
    <xf numFmtId="0" fontId="15" fillId="5" borderId="17" xfId="0" applyFont="1" applyFill="1" applyBorder="1"/>
    <xf numFmtId="0" fontId="15" fillId="5" borderId="11" xfId="0" applyFont="1" applyFill="1" applyBorder="1"/>
    <xf numFmtId="0" fontId="15" fillId="7" borderId="13" xfId="0" applyFont="1" applyFill="1" applyBorder="1" applyAlignment="1" applyProtection="1">
      <alignment horizontal="center"/>
    </xf>
    <xf numFmtId="165" fontId="15" fillId="7" borderId="13" xfId="0" applyNumberFormat="1" applyFont="1" applyFill="1" applyBorder="1" applyAlignment="1" applyProtection="1">
      <alignment horizontal="center"/>
    </xf>
    <xf numFmtId="165" fontId="16" fillId="2" borderId="13" xfId="0" applyNumberFormat="1" applyFont="1" applyFill="1" applyBorder="1" applyAlignment="1" applyProtection="1">
      <alignment horizontal="center"/>
    </xf>
    <xf numFmtId="0" fontId="16" fillId="5" borderId="13" xfId="0" applyFont="1" applyFill="1" applyBorder="1" applyAlignment="1" applyProtection="1">
      <protection locked="0"/>
    </xf>
    <xf numFmtId="3" fontId="15" fillId="4" borderId="13" xfId="0" applyNumberFormat="1" applyFont="1" applyFill="1" applyBorder="1" applyAlignment="1">
      <alignment horizontal="center"/>
    </xf>
    <xf numFmtId="10" fontId="15" fillId="4" borderId="13" xfId="0" applyNumberFormat="1" applyFont="1" applyFill="1" applyBorder="1" applyAlignment="1" applyProtection="1">
      <alignment horizontal="center"/>
      <protection locked="0"/>
    </xf>
    <xf numFmtId="166" fontId="15" fillId="5" borderId="14" xfId="0" applyNumberFormat="1" applyFont="1" applyFill="1" applyBorder="1"/>
    <xf numFmtId="165" fontId="15" fillId="4" borderId="13" xfId="0" applyNumberFormat="1" applyFont="1" applyFill="1" applyBorder="1" applyAlignment="1" applyProtection="1">
      <alignment horizontal="center"/>
      <protection locked="0"/>
    </xf>
    <xf numFmtId="165" fontId="15" fillId="5" borderId="13" xfId="0" applyNumberFormat="1" applyFont="1" applyFill="1" applyBorder="1" applyAlignment="1" applyProtection="1">
      <alignment horizontal="center"/>
      <protection locked="0"/>
    </xf>
    <xf numFmtId="166" fontId="16" fillId="5" borderId="14" xfId="0" applyNumberFormat="1" applyFont="1" applyFill="1" applyBorder="1"/>
    <xf numFmtId="0" fontId="16" fillId="5" borderId="16" xfId="0" applyFont="1" applyFill="1" applyBorder="1"/>
    <xf numFmtId="166" fontId="15" fillId="5" borderId="17" xfId="0" applyNumberFormat="1" applyFont="1" applyFill="1" applyBorder="1"/>
    <xf numFmtId="0" fontId="15" fillId="5" borderId="10" xfId="0" applyFont="1" applyFill="1" applyBorder="1" applyAlignment="1" applyProtection="1">
      <alignment horizontal="center"/>
      <protection locked="0"/>
    </xf>
    <xf numFmtId="0" fontId="15" fillId="5" borderId="10" xfId="0" applyFont="1" applyFill="1" applyBorder="1" applyAlignment="1" applyProtection="1">
      <protection locked="0"/>
    </xf>
    <xf numFmtId="0" fontId="15" fillId="4" borderId="13" xfId="0" applyNumberFormat="1" applyFont="1" applyFill="1" applyBorder="1" applyAlignment="1" applyProtection="1">
      <alignment horizontal="center"/>
      <protection locked="0"/>
    </xf>
    <xf numFmtId="166" fontId="15" fillId="7" borderId="13" xfId="0" applyNumberFormat="1" applyFont="1" applyFill="1" applyBorder="1" applyAlignment="1" applyProtection="1">
      <alignment horizontal="center"/>
      <protection locked="0"/>
    </xf>
    <xf numFmtId="0" fontId="29" fillId="5" borderId="13" xfId="0" applyFont="1" applyFill="1" applyBorder="1" applyAlignment="1">
      <alignment horizontal="right"/>
    </xf>
    <xf numFmtId="0" fontId="29" fillId="5" borderId="13" xfId="0" applyFont="1" applyFill="1" applyBorder="1" applyAlignment="1">
      <alignment horizontal="center"/>
    </xf>
    <xf numFmtId="0" fontId="15" fillId="5" borderId="16" xfId="0" applyFont="1" applyFill="1" applyBorder="1" applyAlignment="1" applyProtection="1">
      <alignment horizontal="center"/>
      <protection locked="0"/>
    </xf>
    <xf numFmtId="0" fontId="29" fillId="5" borderId="16" xfId="0" applyFont="1" applyFill="1" applyBorder="1" applyAlignment="1" applyProtection="1">
      <alignment horizontal="right"/>
    </xf>
    <xf numFmtId="0" fontId="29" fillId="5" borderId="16" xfId="0" applyFont="1" applyFill="1" applyBorder="1" applyAlignment="1" applyProtection="1">
      <alignment horizontal="center"/>
    </xf>
    <xf numFmtId="0" fontId="29" fillId="5" borderId="10" xfId="0" applyFont="1" applyFill="1" applyBorder="1" applyAlignment="1" applyProtection="1">
      <alignment horizontal="right"/>
    </xf>
    <xf numFmtId="0" fontId="29" fillId="5" borderId="10" xfId="0" applyFont="1" applyFill="1" applyBorder="1" applyAlignment="1" applyProtection="1">
      <alignment horizontal="center"/>
    </xf>
    <xf numFmtId="172" fontId="15" fillId="4" borderId="13" xfId="0" applyNumberFormat="1" applyFont="1" applyFill="1" applyBorder="1" applyAlignment="1" applyProtection="1">
      <alignment horizontal="center"/>
      <protection locked="0"/>
    </xf>
    <xf numFmtId="166" fontId="15" fillId="2" borderId="13" xfId="0" applyNumberFormat="1" applyFont="1" applyFill="1" applyBorder="1" applyAlignment="1" applyProtection="1">
      <alignment horizontal="center"/>
    </xf>
    <xf numFmtId="165" fontId="16" fillId="5" borderId="13" xfId="0" applyNumberFormat="1" applyFont="1" applyFill="1" applyBorder="1" applyAlignment="1" applyProtection="1">
      <alignment horizontal="center"/>
    </xf>
    <xf numFmtId="166" fontId="15" fillId="5" borderId="14" xfId="0" applyNumberFormat="1" applyFont="1" applyFill="1" applyBorder="1" applyProtection="1"/>
    <xf numFmtId="166" fontId="16" fillId="5" borderId="14" xfId="0" applyNumberFormat="1" applyFont="1" applyFill="1" applyBorder="1" applyProtection="1"/>
    <xf numFmtId="166" fontId="15" fillId="5" borderId="17" xfId="0" applyNumberFormat="1" applyFont="1" applyFill="1" applyBorder="1" applyProtection="1"/>
    <xf numFmtId="0" fontId="30" fillId="6" borderId="0" xfId="0" applyNumberFormat="1" applyFont="1" applyFill="1" applyBorder="1" applyAlignment="1" applyProtection="1">
      <alignment horizontal="left"/>
      <protection locked="0"/>
    </xf>
    <xf numFmtId="0" fontId="39" fillId="4" borderId="0" xfId="0" applyFont="1" applyFill="1" applyBorder="1" applyAlignment="1">
      <alignment horizontal="left"/>
    </xf>
    <xf numFmtId="0" fontId="7" fillId="5" borderId="0" xfId="0" applyFont="1" applyFill="1" applyAlignment="1" applyProtection="1">
      <alignment horizontal="right"/>
    </xf>
    <xf numFmtId="0" fontId="40" fillId="2" borderId="0" xfId="0" applyFont="1" applyFill="1" applyBorder="1" applyProtection="1"/>
    <xf numFmtId="0" fontId="38" fillId="2" borderId="0" xfId="0" applyFont="1" applyFill="1" applyBorder="1" applyProtection="1"/>
    <xf numFmtId="0" fontId="15" fillId="2" borderId="0" xfId="0" applyFont="1" applyFill="1" applyBorder="1"/>
    <xf numFmtId="166" fontId="15" fillId="2" borderId="0" xfId="0" applyNumberFormat="1" applyFont="1" applyFill="1" applyBorder="1" applyProtection="1"/>
    <xf numFmtId="166" fontId="16" fillId="2" borderId="0" xfId="0" applyNumberFormat="1" applyFont="1" applyFill="1" applyBorder="1" applyProtection="1"/>
    <xf numFmtId="0" fontId="8" fillId="4" borderId="0" xfId="0" applyFont="1" applyFill="1" applyBorder="1"/>
    <xf numFmtId="0" fontId="46" fillId="4" borderId="0" xfId="0" applyFont="1" applyFill="1" applyBorder="1"/>
    <xf numFmtId="0" fontId="39" fillId="4" borderId="0" xfId="0" applyFont="1" applyFill="1" applyBorder="1" applyAlignment="1">
      <alignment horizontal="center"/>
    </xf>
    <xf numFmtId="0" fontId="53" fillId="2" borderId="18" xfId="0" applyFont="1" applyFill="1" applyBorder="1" applyProtection="1"/>
    <xf numFmtId="0" fontId="54" fillId="2" borderId="19" xfId="0" applyFont="1" applyFill="1" applyBorder="1" applyProtection="1"/>
    <xf numFmtId="0" fontId="54" fillId="2" borderId="20" xfId="0" applyFont="1" applyFill="1" applyBorder="1" applyProtection="1"/>
    <xf numFmtId="0" fontId="54" fillId="2" borderId="21" xfId="0" applyFont="1" applyFill="1" applyBorder="1" applyProtection="1"/>
    <xf numFmtId="0" fontId="54" fillId="2" borderId="0" xfId="0" applyFont="1" applyFill="1" applyBorder="1" applyProtection="1"/>
    <xf numFmtId="0" fontId="54" fillId="2" borderId="22" xfId="0" applyFont="1" applyFill="1" applyBorder="1" applyProtection="1"/>
    <xf numFmtId="165" fontId="54" fillId="2" borderId="0" xfId="0" applyNumberFormat="1" applyFont="1" applyFill="1" applyBorder="1" applyProtection="1"/>
    <xf numFmtId="0" fontId="54" fillId="2" borderId="23" xfId="0" applyFont="1" applyFill="1" applyBorder="1" applyProtection="1"/>
    <xf numFmtId="0" fontId="54" fillId="2" borderId="24" xfId="0" applyFont="1" applyFill="1" applyBorder="1" applyProtection="1"/>
    <xf numFmtId="165" fontId="54" fillId="2" borderId="24" xfId="0" applyNumberFormat="1" applyFont="1" applyFill="1" applyBorder="1" applyProtection="1"/>
    <xf numFmtId="0" fontId="54" fillId="2" borderId="25" xfId="0" applyFont="1" applyFill="1" applyBorder="1" applyProtection="1"/>
    <xf numFmtId="164" fontId="15" fillId="7" borderId="13" xfId="0" applyNumberFormat="1" applyFont="1" applyFill="1" applyBorder="1" applyAlignment="1" applyProtection="1">
      <alignment horizontal="center"/>
    </xf>
    <xf numFmtId="164" fontId="15" fillId="7" borderId="13" xfId="0" applyNumberFormat="1" applyFont="1" applyFill="1" applyBorder="1" applyAlignment="1" applyProtection="1">
      <alignment horizontal="center"/>
      <protection locked="0"/>
    </xf>
    <xf numFmtId="171" fontId="19" fillId="0" borderId="13" xfId="0" applyNumberFormat="1" applyFont="1" applyFill="1" applyBorder="1" applyAlignment="1" applyProtection="1">
      <alignment horizontal="center"/>
      <protection locked="0"/>
    </xf>
    <xf numFmtId="14" fontId="15" fillId="4" borderId="13" xfId="0" applyNumberFormat="1" applyFont="1" applyFill="1" applyBorder="1" applyAlignment="1" applyProtection="1">
      <alignment horizontal="center"/>
      <protection locked="0"/>
    </xf>
    <xf numFmtId="14" fontId="15" fillId="4" borderId="0" xfId="0" applyNumberFormat="1" applyFont="1" applyFill="1" applyBorder="1" applyProtection="1"/>
    <xf numFmtId="1" fontId="52" fillId="5" borderId="13" xfId="0" applyNumberFormat="1" applyFont="1" applyFill="1" applyBorder="1" applyAlignment="1" applyProtection="1">
      <alignment horizontal="center"/>
    </xf>
    <xf numFmtId="14" fontId="15" fillId="4" borderId="0" xfId="0" applyNumberFormat="1" applyFont="1" applyFill="1" applyBorder="1"/>
    <xf numFmtId="1" fontId="21" fillId="5" borderId="13" xfId="0" applyNumberFormat="1" applyFont="1" applyFill="1" applyBorder="1" applyProtection="1"/>
    <xf numFmtId="14" fontId="12" fillId="4" borderId="0" xfId="0" applyNumberFormat="1" applyFont="1" applyFill="1" applyBorder="1" applyProtection="1"/>
    <xf numFmtId="165" fontId="15" fillId="5" borderId="0" xfId="3" applyNumberFormat="1" applyFont="1" applyFill="1" applyBorder="1" applyAlignment="1" applyProtection="1">
      <alignment horizontal="left"/>
    </xf>
    <xf numFmtId="166" fontId="15" fillId="5" borderId="0" xfId="0" applyNumberFormat="1" applyFont="1" applyFill="1" applyBorder="1" applyProtection="1"/>
    <xf numFmtId="4" fontId="15" fillId="5" borderId="0" xfId="0" applyNumberFormat="1" applyFont="1" applyFill="1" applyBorder="1" applyProtection="1"/>
    <xf numFmtId="0" fontId="9" fillId="4" borderId="0" xfId="0" applyFont="1" applyFill="1" applyBorder="1"/>
    <xf numFmtId="0" fontId="9" fillId="2" borderId="0" xfId="0" applyFont="1" applyFill="1" applyAlignment="1">
      <alignment horizontal="right"/>
    </xf>
    <xf numFmtId="0" fontId="9" fillId="4" borderId="0" xfId="0" applyFont="1" applyFill="1" applyBorder="1" applyAlignment="1">
      <alignment horizontal="right"/>
    </xf>
    <xf numFmtId="0" fontId="8" fillId="2" borderId="0" xfId="0" applyFont="1" applyFill="1"/>
    <xf numFmtId="0" fontId="55" fillId="4" borderId="0" xfId="0" applyFont="1" applyFill="1" applyBorder="1"/>
    <xf numFmtId="3" fontId="8" fillId="6" borderId="0" xfId="0" applyNumberFormat="1" applyFont="1" applyFill="1" applyBorder="1" applyAlignment="1" applyProtection="1">
      <alignment horizontal="left"/>
      <protection locked="0"/>
    </xf>
    <xf numFmtId="10" fontId="15" fillId="7" borderId="13" xfId="2" applyNumberFormat="1" applyFont="1" applyFill="1" applyBorder="1" applyAlignment="1" applyProtection="1">
      <alignment horizontal="center"/>
    </xf>
    <xf numFmtId="9" fontId="15" fillId="7" borderId="13" xfId="0" applyNumberFormat="1" applyFont="1" applyFill="1" applyBorder="1" applyAlignment="1" applyProtection="1">
      <alignment horizontal="center"/>
    </xf>
    <xf numFmtId="0" fontId="24"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56" fillId="0" borderId="0" xfId="0" applyFont="1" applyFill="1" applyBorder="1" applyAlignment="1" applyProtection="1">
      <alignment horizontal="left"/>
    </xf>
    <xf numFmtId="0" fontId="10" fillId="4" borderId="0" xfId="0" applyFont="1" applyFill="1" applyBorder="1"/>
    <xf numFmtId="10" fontId="16" fillId="2" borderId="0" xfId="0" applyNumberFormat="1" applyFont="1" applyFill="1" applyProtection="1"/>
    <xf numFmtId="0" fontId="8" fillId="6" borderId="0" xfId="0" applyNumberFormat="1" applyFont="1" applyFill="1" applyBorder="1" applyAlignment="1" applyProtection="1">
      <alignment horizontal="left"/>
      <protection locked="0"/>
    </xf>
    <xf numFmtId="0" fontId="8" fillId="0" borderId="0" xfId="0" applyFont="1" applyBorder="1" applyAlignment="1" applyProtection="1">
      <alignment horizontal="left"/>
    </xf>
    <xf numFmtId="0" fontId="7" fillId="5" borderId="13" xfId="0" applyFont="1" applyFill="1" applyBorder="1" applyProtection="1"/>
    <xf numFmtId="0" fontId="8" fillId="0" borderId="0" xfId="0" applyFont="1" applyFill="1" applyBorder="1" applyAlignment="1" applyProtection="1">
      <alignment horizontal="left"/>
    </xf>
    <xf numFmtId="171" fontId="30" fillId="4" borderId="0" xfId="0" applyNumberFormat="1" applyFont="1" applyFill="1" applyBorder="1"/>
    <xf numFmtId="0" fontId="8" fillId="8" borderId="0" xfId="0" applyFont="1" applyFill="1" applyBorder="1"/>
    <xf numFmtId="0" fontId="9" fillId="4" borderId="0" xfId="0" applyFont="1" applyFill="1" applyBorder="1" applyAlignment="1">
      <alignment horizontal="center"/>
    </xf>
    <xf numFmtId="0" fontId="57" fillId="3" borderId="0" xfId="1" applyFont="1" applyFill="1" applyBorder="1" applyAlignment="1" applyProtection="1">
      <alignment horizontal="right"/>
    </xf>
    <xf numFmtId="0" fontId="57" fillId="3" borderId="2" xfId="1" applyFont="1" applyFill="1" applyBorder="1" applyAlignment="1" applyProtection="1">
      <alignment horizontal="right"/>
    </xf>
    <xf numFmtId="166" fontId="57" fillId="3" borderId="2" xfId="1" applyNumberFormat="1" applyFont="1" applyFill="1" applyBorder="1" applyAlignment="1" applyProtection="1">
      <alignment horizontal="right"/>
    </xf>
    <xf numFmtId="0" fontId="10" fillId="8" borderId="0" xfId="0" applyFont="1" applyFill="1" applyBorder="1"/>
    <xf numFmtId="0" fontId="8" fillId="0" borderId="26" xfId="0" applyFont="1" applyFill="1" applyBorder="1"/>
    <xf numFmtId="49" fontId="58" fillId="0" borderId="0" xfId="0" applyNumberFormat="1" applyFont="1" applyAlignment="1" applyProtection="1">
      <alignment horizontal="left"/>
    </xf>
    <xf numFmtId="0" fontId="8" fillId="6" borderId="0" xfId="0" applyFont="1" applyFill="1" applyBorder="1" applyAlignment="1" applyProtection="1">
      <alignment horizontal="left"/>
      <protection locked="0"/>
    </xf>
    <xf numFmtId="0" fontId="7" fillId="4" borderId="13" xfId="0" applyFont="1" applyFill="1" applyBorder="1" applyAlignment="1" applyProtection="1">
      <alignment horizontal="center"/>
      <protection locked="0"/>
    </xf>
    <xf numFmtId="0" fontId="58" fillId="0" borderId="0" xfId="0" applyFont="1"/>
    <xf numFmtId="0" fontId="9" fillId="0" borderId="0" xfId="0" applyFont="1" applyFill="1" applyBorder="1" applyAlignment="1" applyProtection="1">
      <alignment horizontal="left"/>
    </xf>
    <xf numFmtId="0" fontId="1" fillId="5" borderId="13" xfId="0" applyFont="1" applyFill="1" applyBorder="1" applyProtection="1"/>
    <xf numFmtId="0" fontId="8" fillId="0" borderId="0" xfId="0" applyFont="1" applyBorder="1" applyAlignment="1">
      <alignment horizontal="left"/>
    </xf>
    <xf numFmtId="2" fontId="8" fillId="6" borderId="0" xfId="0" applyNumberFormat="1" applyFont="1" applyFill="1" applyBorder="1" applyAlignment="1" applyProtection="1">
      <alignment horizontal="left"/>
      <protection locked="0"/>
    </xf>
    <xf numFmtId="2" fontId="8" fillId="0" borderId="0" xfId="0" applyNumberFormat="1" applyFont="1" applyFill="1" applyBorder="1" applyAlignment="1" applyProtection="1">
      <alignment horizontal="left"/>
      <protection locked="0"/>
    </xf>
    <xf numFmtId="0" fontId="15" fillId="9" borderId="13" xfId="0" applyFont="1" applyFill="1" applyBorder="1" applyAlignment="1" applyProtection="1">
      <alignment horizontal="left"/>
    </xf>
    <xf numFmtId="0" fontId="15" fillId="5" borderId="16" xfId="0" applyFont="1" applyFill="1" applyBorder="1" applyAlignment="1">
      <alignment horizontal="center"/>
    </xf>
    <xf numFmtId="0" fontId="7" fillId="5" borderId="16" xfId="0" applyFont="1" applyFill="1" applyBorder="1" applyProtection="1"/>
    <xf numFmtId="0" fontId="7" fillId="5" borderId="13" xfId="0" applyFont="1" applyFill="1" applyBorder="1" applyAlignment="1" applyProtection="1">
      <alignment horizontal="left"/>
    </xf>
    <xf numFmtId="0" fontId="60" fillId="0" borderId="0" xfId="0" applyFont="1" applyBorder="1" applyAlignment="1">
      <alignment horizontal="left"/>
    </xf>
    <xf numFmtId="0" fontId="58" fillId="8" borderId="0" xfId="0" applyFont="1" applyFill="1" applyBorder="1" applyProtection="1"/>
    <xf numFmtId="3" fontId="8" fillId="10" borderId="0" xfId="0" applyNumberFormat="1" applyFont="1" applyFill="1" applyBorder="1" applyAlignment="1" applyProtection="1">
      <alignment horizontal="left"/>
      <protection locked="0"/>
    </xf>
    <xf numFmtId="9" fontId="8" fillId="10" borderId="0" xfId="0" applyNumberFormat="1" applyFont="1" applyFill="1" applyBorder="1" applyAlignment="1" applyProtection="1">
      <alignment horizontal="left"/>
      <protection locked="0"/>
    </xf>
    <xf numFmtId="0" fontId="7" fillId="2" borderId="0" xfId="0" applyFont="1" applyFill="1" applyProtection="1"/>
    <xf numFmtId="0" fontId="61" fillId="5" borderId="13" xfId="0" applyFont="1" applyFill="1" applyBorder="1" applyAlignment="1" applyProtection="1">
      <alignment horizontal="left"/>
    </xf>
    <xf numFmtId="3" fontId="58" fillId="6" borderId="0" xfId="0" applyNumberFormat="1" applyFont="1" applyFill="1" applyBorder="1" applyAlignment="1" applyProtection="1">
      <alignment horizontal="left"/>
      <protection locked="0"/>
    </xf>
    <xf numFmtId="0" fontId="62" fillId="0" borderId="0" xfId="0" applyFont="1"/>
    <xf numFmtId="0" fontId="2" fillId="4" borderId="0" xfId="1" applyFill="1" applyBorder="1" applyAlignment="1" applyProtection="1"/>
    <xf numFmtId="0" fontId="64" fillId="0" borderId="0" xfId="0" applyFont="1" applyBorder="1" applyAlignment="1">
      <alignment horizontal="right" vertical="center" wrapText="1"/>
    </xf>
    <xf numFmtId="0" fontId="64" fillId="0" borderId="0" xfId="0" applyFont="1" applyBorder="1" applyAlignment="1">
      <alignment horizontal="right" vertical="top" wrapText="1"/>
    </xf>
    <xf numFmtId="10" fontId="64" fillId="0" borderId="0" xfId="0" applyNumberFormat="1" applyFont="1" applyBorder="1" applyAlignment="1">
      <alignment horizontal="left" vertical="top" wrapText="1"/>
    </xf>
    <xf numFmtId="0" fontId="8" fillId="0" borderId="27" xfId="0" applyFont="1" applyBorder="1" applyAlignment="1" applyProtection="1">
      <alignment horizontal="left"/>
    </xf>
    <xf numFmtId="0" fontId="64" fillId="0" borderId="0" xfId="0" applyFont="1" applyBorder="1" applyAlignment="1">
      <alignment horizontal="left" vertical="center" wrapText="1"/>
    </xf>
    <xf numFmtId="0" fontId="64" fillId="0" borderId="0" xfId="0" applyFont="1" applyBorder="1" applyAlignment="1">
      <alignment horizontal="left" vertical="top" wrapText="1"/>
    </xf>
    <xf numFmtId="10" fontId="8" fillId="8" borderId="0" xfId="0" applyNumberFormat="1" applyFont="1" applyFill="1" applyBorder="1" applyAlignment="1" applyProtection="1">
      <alignment horizontal="left"/>
      <protection locked="0"/>
    </xf>
    <xf numFmtId="0" fontId="65" fillId="0" borderId="0" xfId="0" applyFont="1" applyBorder="1" applyAlignment="1">
      <alignment vertical="center"/>
    </xf>
    <xf numFmtId="0" fontId="63" fillId="0" borderId="0" xfId="0" applyFont="1" applyBorder="1" applyAlignment="1">
      <alignment horizontal="left" vertical="center"/>
    </xf>
    <xf numFmtId="0" fontId="9" fillId="0" borderId="0" xfId="0" applyFont="1" applyBorder="1" applyAlignment="1" applyProtection="1">
      <alignment horizontal="left"/>
    </xf>
    <xf numFmtId="0" fontId="30" fillId="10" borderId="0" xfId="0" applyFont="1" applyFill="1" applyBorder="1" applyAlignment="1" applyProtection="1">
      <alignment horizontal="left"/>
    </xf>
    <xf numFmtId="0" fontId="7" fillId="5" borderId="13" xfId="0" applyFont="1" applyFill="1" applyBorder="1" applyAlignment="1" applyProtection="1"/>
    <xf numFmtId="10" fontId="58" fillId="6" borderId="0" xfId="0" applyNumberFormat="1" applyFont="1" applyFill="1" applyBorder="1" applyAlignment="1" applyProtection="1">
      <alignment horizontal="left"/>
      <protection locked="0"/>
    </xf>
    <xf numFmtId="169" fontId="58" fillId="6" borderId="0" xfId="0" applyNumberFormat="1" applyFont="1" applyFill="1" applyBorder="1" applyAlignment="1" applyProtection="1">
      <alignment horizontal="left"/>
      <protection locked="0"/>
    </xf>
    <xf numFmtId="3" fontId="58" fillId="0" borderId="0" xfId="0" applyNumberFormat="1" applyFont="1" applyFill="1" applyBorder="1" applyAlignment="1" applyProtection="1">
      <alignment horizontal="left"/>
    </xf>
    <xf numFmtId="10" fontId="58" fillId="10" borderId="0" xfId="0" applyNumberFormat="1" applyFont="1" applyFill="1" applyBorder="1" applyAlignment="1" applyProtection="1">
      <alignment horizontal="left"/>
      <protection locked="0"/>
    </xf>
    <xf numFmtId="9" fontId="58" fillId="0" borderId="0" xfId="0" applyNumberFormat="1" applyFont="1" applyBorder="1" applyAlignment="1" applyProtection="1">
      <alignment horizontal="left"/>
    </xf>
    <xf numFmtId="4" fontId="58" fillId="6" borderId="0" xfId="0" applyNumberFormat="1" applyFont="1" applyFill="1" applyBorder="1" applyAlignment="1" applyProtection="1">
      <alignment horizontal="left"/>
      <protection locked="0"/>
    </xf>
    <xf numFmtId="9" fontId="58" fillId="0" borderId="0" xfId="0" applyNumberFormat="1" applyFont="1" applyFill="1" applyBorder="1" applyAlignment="1" applyProtection="1">
      <alignment horizontal="left"/>
    </xf>
    <xf numFmtId="4" fontId="58" fillId="0" borderId="0" xfId="0" applyNumberFormat="1" applyFont="1" applyFill="1" applyBorder="1" applyAlignment="1" applyProtection="1">
      <alignment horizontal="left"/>
    </xf>
    <xf numFmtId="0" fontId="58" fillId="0" borderId="0" xfId="0" applyFont="1" applyBorder="1" applyAlignment="1">
      <alignment horizontal="left"/>
    </xf>
    <xf numFmtId="49" fontId="58" fillId="0" borderId="0" xfId="0" applyNumberFormat="1" applyFont="1" applyBorder="1" applyAlignment="1" applyProtection="1">
      <alignment horizontal="center"/>
    </xf>
    <xf numFmtId="0" fontId="58" fillId="0" borderId="0" xfId="0" applyFont="1" applyBorder="1" applyAlignment="1" applyProtection="1">
      <alignment horizontal="left"/>
    </xf>
    <xf numFmtId="10" fontId="58" fillId="0" borderId="0" xfId="0" applyNumberFormat="1" applyFont="1" applyBorder="1" applyAlignment="1" applyProtection="1">
      <alignment horizontal="right"/>
    </xf>
    <xf numFmtId="2" fontId="58" fillId="6" borderId="0" xfId="0" applyNumberFormat="1" applyFont="1" applyFill="1" applyBorder="1" applyAlignment="1" applyProtection="1">
      <alignment horizontal="left"/>
      <protection locked="0"/>
    </xf>
    <xf numFmtId="2" fontId="58" fillId="0" borderId="0" xfId="0" applyNumberFormat="1" applyFont="1" applyFill="1" applyBorder="1" applyAlignment="1" applyProtection="1">
      <alignment horizontal="left"/>
      <protection locked="0"/>
    </xf>
    <xf numFmtId="0" fontId="60" fillId="0" borderId="0" xfId="0" applyFont="1" applyBorder="1" applyAlignment="1" applyProtection="1">
      <alignment horizontal="left"/>
    </xf>
    <xf numFmtId="170" fontId="58" fillId="6" borderId="0" xfId="0" applyNumberFormat="1" applyFont="1" applyFill="1" applyBorder="1" applyAlignment="1" applyProtection="1">
      <alignment horizontal="left"/>
      <protection locked="0"/>
    </xf>
    <xf numFmtId="3" fontId="58" fillId="10" borderId="0" xfId="0" applyNumberFormat="1" applyFont="1" applyFill="1" applyBorder="1" applyAlignment="1" applyProtection="1">
      <alignment horizontal="left"/>
    </xf>
    <xf numFmtId="10" fontId="58" fillId="10" borderId="0" xfId="0" applyNumberFormat="1" applyFont="1" applyFill="1" applyBorder="1" applyAlignment="1" applyProtection="1">
      <alignment horizontal="left"/>
    </xf>
    <xf numFmtId="0" fontId="66"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 fontId="9"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3" fontId="8" fillId="0" borderId="0" xfId="0" applyNumberFormat="1" applyFont="1" applyFill="1" applyBorder="1" applyAlignment="1" applyProtection="1">
      <alignment horizontal="center"/>
    </xf>
    <xf numFmtId="3" fontId="68" fillId="10" borderId="0" xfId="0" applyNumberFormat="1" applyFont="1" applyFill="1" applyBorder="1" applyAlignment="1" applyProtection="1">
      <alignment horizontal="left"/>
      <protection locked="0"/>
    </xf>
    <xf numFmtId="3" fontId="9" fillId="10" borderId="0" xfId="0" applyNumberFormat="1" applyFont="1" applyFill="1" applyBorder="1" applyAlignment="1" applyProtection="1">
      <alignment horizontal="left"/>
      <protection locked="0"/>
    </xf>
    <xf numFmtId="3" fontId="69" fillId="10" borderId="0" xfId="0" applyNumberFormat="1" applyFont="1" applyFill="1" applyBorder="1" applyAlignment="1" applyProtection="1">
      <alignment horizontal="left"/>
      <protection locked="0"/>
    </xf>
    <xf numFmtId="0" fontId="8" fillId="0" borderId="0" xfId="0" applyFont="1" applyFill="1" applyAlignment="1" applyProtection="1">
      <alignment horizontal="left" vertical="center"/>
    </xf>
    <xf numFmtId="3" fontId="70" fillId="10" borderId="0" xfId="0" applyNumberFormat="1" applyFont="1" applyFill="1" applyBorder="1" applyAlignment="1" applyProtection="1">
      <alignment horizontal="left"/>
      <protection locked="0"/>
    </xf>
    <xf numFmtId="3" fontId="71" fillId="10" borderId="0" xfId="0" applyNumberFormat="1" applyFont="1" applyFill="1" applyBorder="1" applyAlignment="1" applyProtection="1">
      <alignment horizontal="left"/>
      <protection locked="0"/>
    </xf>
    <xf numFmtId="0" fontId="58" fillId="0" borderId="0" xfId="0" applyFont="1" applyAlignment="1" applyProtection="1">
      <alignment horizontal="left"/>
    </xf>
    <xf numFmtId="49" fontId="8" fillId="0" borderId="0" xfId="0" applyNumberFormat="1" applyFont="1" applyBorder="1" applyAlignment="1" applyProtection="1">
      <alignment horizontal="left"/>
    </xf>
    <xf numFmtId="0" fontId="15" fillId="9" borderId="13" xfId="0" applyFont="1" applyFill="1" applyBorder="1" applyAlignment="1" applyProtection="1">
      <alignment horizontal="left"/>
      <protection locked="0"/>
    </xf>
    <xf numFmtId="0" fontId="72" fillId="9" borderId="28" xfId="0" applyFont="1" applyFill="1" applyBorder="1" applyAlignment="1" applyProtection="1">
      <alignment horizontal="center" vertical="top"/>
    </xf>
    <xf numFmtId="1" fontId="7" fillId="11" borderId="13" xfId="0" applyNumberFormat="1" applyFont="1" applyFill="1" applyBorder="1" applyAlignment="1" applyProtection="1">
      <alignment horizontal="center"/>
    </xf>
    <xf numFmtId="166" fontId="15" fillId="9" borderId="13" xfId="0" applyNumberFormat="1" applyFont="1" applyFill="1" applyBorder="1" applyProtection="1"/>
    <xf numFmtId="10" fontId="19" fillId="9" borderId="13" xfId="0" applyNumberFormat="1" applyFont="1" applyFill="1" applyBorder="1" applyAlignment="1" applyProtection="1">
      <alignment horizontal="center"/>
    </xf>
    <xf numFmtId="10" fontId="19" fillId="12" borderId="13" xfId="0" applyNumberFormat="1" applyFont="1" applyFill="1" applyBorder="1" applyAlignment="1" applyProtection="1">
      <alignment horizontal="center"/>
    </xf>
    <xf numFmtId="0" fontId="15" fillId="9" borderId="0" xfId="0" applyFont="1" applyFill="1" applyProtection="1"/>
    <xf numFmtId="177" fontId="15" fillId="7" borderId="13" xfId="0" applyNumberFormat="1" applyFont="1" applyFill="1" applyBorder="1" applyProtection="1"/>
    <xf numFmtId="177" fontId="19" fillId="7" borderId="13" xfId="0" applyNumberFormat="1" applyFont="1" applyFill="1" applyBorder="1" applyProtection="1"/>
    <xf numFmtId="177" fontId="16" fillId="2" borderId="13" xfId="0" applyNumberFormat="1" applyFont="1" applyFill="1" applyBorder="1" applyProtection="1"/>
    <xf numFmtId="177" fontId="7" fillId="7" borderId="13" xfId="0" applyNumberFormat="1" applyFont="1" applyFill="1" applyBorder="1" applyProtection="1"/>
    <xf numFmtId="177" fontId="15" fillId="12" borderId="13" xfId="0" applyNumberFormat="1" applyFont="1" applyFill="1" applyBorder="1" applyProtection="1"/>
    <xf numFmtId="177" fontId="15" fillId="11" borderId="13" xfId="0" applyNumberFormat="1" applyFont="1" applyFill="1" applyBorder="1" applyProtection="1">
      <protection locked="0"/>
    </xf>
    <xf numFmtId="177" fontId="15" fillId="0" borderId="13" xfId="0" applyNumberFormat="1" applyFont="1" applyFill="1" applyBorder="1" applyProtection="1">
      <protection locked="0"/>
    </xf>
    <xf numFmtId="177" fontId="16" fillId="7" borderId="13" xfId="0" applyNumberFormat="1" applyFont="1" applyFill="1" applyBorder="1" applyProtection="1"/>
    <xf numFmtId="177" fontId="49" fillId="2" borderId="13" xfId="0" applyNumberFormat="1" applyFont="1" applyFill="1" applyBorder="1" applyAlignment="1" applyProtection="1">
      <alignment horizontal="right"/>
    </xf>
    <xf numFmtId="177" fontId="7" fillId="11" borderId="13" xfId="0" applyNumberFormat="1" applyFont="1" applyFill="1" applyBorder="1" applyProtection="1"/>
    <xf numFmtId="177" fontId="16" fillId="12" borderId="13" xfId="0" applyNumberFormat="1" applyFont="1" applyFill="1" applyBorder="1" applyProtection="1"/>
    <xf numFmtId="177" fontId="15" fillId="7" borderId="13" xfId="3" applyNumberFormat="1" applyFont="1" applyFill="1" applyBorder="1" applyAlignment="1" applyProtection="1">
      <alignment horizontal="center"/>
    </xf>
    <xf numFmtId="177" fontId="16" fillId="2" borderId="13" xfId="3" applyNumberFormat="1" applyFont="1" applyFill="1" applyBorder="1" applyAlignment="1" applyProtection="1">
      <alignment horizontal="right"/>
    </xf>
    <xf numFmtId="49" fontId="8" fillId="12" borderId="0" xfId="0" applyNumberFormat="1" applyFont="1" applyFill="1" applyBorder="1" applyAlignment="1" applyProtection="1">
      <alignment horizontal="left" vertical="center"/>
    </xf>
    <xf numFmtId="0" fontId="73" fillId="2" borderId="0" xfId="0" applyFont="1" applyFill="1" applyAlignment="1" applyProtection="1">
      <alignment horizontal="left"/>
    </xf>
    <xf numFmtId="49" fontId="72" fillId="12" borderId="0" xfId="0" applyNumberFormat="1" applyFont="1" applyFill="1" applyBorder="1" applyAlignment="1" applyProtection="1">
      <alignment horizontal="left" vertical="center"/>
    </xf>
    <xf numFmtId="0" fontId="59" fillId="0" borderId="26" xfId="0" applyFont="1" applyBorder="1"/>
    <xf numFmtId="0" fontId="48" fillId="4" borderId="0" xfId="0" applyFont="1" applyFill="1" applyBorder="1" applyAlignment="1">
      <alignment horizontal="left"/>
    </xf>
    <xf numFmtId="3" fontId="74" fillId="10" borderId="0" xfId="0" applyNumberFormat="1" applyFont="1" applyFill="1"/>
    <xf numFmtId="0" fontId="66"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1" fontId="9" fillId="0" borderId="0" xfId="0" applyNumberFormat="1" applyFont="1" applyAlignment="1">
      <alignment horizontal="left" vertical="center"/>
    </xf>
    <xf numFmtId="3" fontId="58" fillId="10" borderId="0" xfId="0" applyNumberFormat="1" applyFont="1" applyFill="1" applyAlignment="1" applyProtection="1">
      <alignment horizontal="left"/>
    </xf>
    <xf numFmtId="0" fontId="58" fillId="10" borderId="0" xfId="0" applyFont="1" applyFill="1" applyAlignment="1" applyProtection="1">
      <alignment horizontal="left"/>
    </xf>
    <xf numFmtId="0" fontId="58" fillId="0" borderId="0" xfId="0" applyFont="1" applyAlignment="1" applyProtection="1">
      <alignment horizontal="center"/>
    </xf>
    <xf numFmtId="9" fontId="30" fillId="10" borderId="0" xfId="0" applyNumberFormat="1" applyFont="1" applyFill="1" applyBorder="1" applyAlignment="1" applyProtection="1">
      <alignment horizontal="left"/>
    </xf>
    <xf numFmtId="0" fontId="7" fillId="5" borderId="16" xfId="0" applyFont="1" applyFill="1" applyBorder="1" applyAlignment="1" applyProtection="1">
      <alignment horizontal="left"/>
    </xf>
    <xf numFmtId="10" fontId="15" fillId="9" borderId="0" xfId="0" applyNumberFormat="1" applyFont="1" applyFill="1" applyBorder="1" applyAlignment="1" applyProtection="1">
      <alignment horizontal="center"/>
    </xf>
    <xf numFmtId="177" fontId="19" fillId="12" borderId="13" xfId="0" applyNumberFormat="1" applyFont="1" applyFill="1" applyBorder="1" applyProtection="1"/>
    <xf numFmtId="0" fontId="8" fillId="8" borderId="28" xfId="2" applyNumberFormat="1" applyFont="1" applyFill="1" applyBorder="1" applyAlignment="1" applyProtection="1">
      <alignment horizontal="center" vertical="top"/>
      <protection locked="0"/>
    </xf>
    <xf numFmtId="177" fontId="19" fillId="7" borderId="13" xfId="0" applyNumberFormat="1" applyFont="1" applyFill="1" applyBorder="1" applyAlignment="1" applyProtection="1">
      <alignment horizontal="right"/>
    </xf>
    <xf numFmtId="171" fontId="48" fillId="5" borderId="14" xfId="2" applyNumberFormat="1" applyFont="1" applyFill="1" applyBorder="1" applyAlignment="1" applyProtection="1">
      <alignment horizontal="center"/>
    </xf>
    <xf numFmtId="171" fontId="48" fillId="5" borderId="12" xfId="2" applyNumberFormat="1" applyFont="1" applyFill="1" applyBorder="1" applyAlignment="1" applyProtection="1">
      <alignment horizontal="center"/>
    </xf>
    <xf numFmtId="166" fontId="16" fillId="5" borderId="13" xfId="0" applyNumberFormat="1" applyFont="1" applyFill="1" applyBorder="1" applyAlignment="1" applyProtection="1">
      <protection locked="0"/>
    </xf>
    <xf numFmtId="0" fontId="16" fillId="5" borderId="13"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protection locked="0"/>
    </xf>
    <xf numFmtId="176" fontId="67" fillId="6" borderId="0" xfId="0" applyNumberFormat="1" applyFont="1" applyFill="1" applyBorder="1" applyAlignment="1" applyProtection="1">
      <alignment horizontal="left"/>
      <protection locked="0"/>
    </xf>
    <xf numFmtId="176" fontId="67" fillId="6" borderId="0" xfId="0" applyNumberFormat="1" applyFont="1" applyFill="1" applyAlignment="1">
      <alignment horizontal="left"/>
    </xf>
    <xf numFmtId="0" fontId="8" fillId="0" borderId="0" xfId="0" applyFont="1" applyFill="1"/>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CCCCFF"/>
      <color rgb="FFFFCC99"/>
      <color rgb="FFFFFF99"/>
      <color rgb="FFFFFF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582705</xdr:colOff>
      <xdr:row>2</xdr:row>
      <xdr:rowOff>33617</xdr:rowOff>
    </xdr:from>
    <xdr:to>
      <xdr:col>14</xdr:col>
      <xdr:colOff>39781</xdr:colOff>
      <xdr:row>4</xdr:row>
      <xdr:rowOff>133350</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0764" y="347382"/>
          <a:ext cx="1317252"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268941</xdr:colOff>
      <xdr:row>1</xdr:row>
      <xdr:rowOff>134472</xdr:rowOff>
    </xdr:from>
    <xdr:to>
      <xdr:col>13</xdr:col>
      <xdr:colOff>165847</xdr:colOff>
      <xdr:row>5</xdr:row>
      <xdr:rowOff>11205</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4176" y="302560"/>
          <a:ext cx="1689847" cy="605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851647</xdr:colOff>
      <xdr:row>2</xdr:row>
      <xdr:rowOff>44824</xdr:rowOff>
    </xdr:from>
    <xdr:to>
      <xdr:col>9</xdr:col>
      <xdr:colOff>582706</xdr:colOff>
      <xdr:row>4</xdr:row>
      <xdr:rowOff>155762</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5441" y="381000"/>
          <a:ext cx="1456765"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638737</xdr:colOff>
      <xdr:row>2</xdr:row>
      <xdr:rowOff>56030</xdr:rowOff>
    </xdr:from>
    <xdr:to>
      <xdr:col>8</xdr:col>
      <xdr:colOff>24653</xdr:colOff>
      <xdr:row>4</xdr:row>
      <xdr:rowOff>166968</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6" y="392206"/>
          <a:ext cx="1358152"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638735</xdr:colOff>
      <xdr:row>2</xdr:row>
      <xdr:rowOff>44824</xdr:rowOff>
    </xdr:from>
    <xdr:to>
      <xdr:col>9</xdr:col>
      <xdr:colOff>13447</xdr:colOff>
      <xdr:row>4</xdr:row>
      <xdr:rowOff>155762</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4" y="381000"/>
          <a:ext cx="1503830"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549088</xdr:colOff>
      <xdr:row>1</xdr:row>
      <xdr:rowOff>0</xdr:rowOff>
    </xdr:from>
    <xdr:to>
      <xdr:col>15</xdr:col>
      <xdr:colOff>69476</xdr:colOff>
      <xdr:row>4</xdr:row>
      <xdr:rowOff>67236</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99912" y="156882"/>
          <a:ext cx="1671917" cy="537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vosabb.nl/" TargetMode="External"/><Relationship Id="rId7" Type="http://schemas.openxmlformats.org/officeDocument/2006/relationships/vmlDrawing" Target="../drawings/vmlDrawing1.vml"/><Relationship Id="rId2" Type="http://schemas.openxmlformats.org/officeDocument/2006/relationships/hyperlink" Target="mailto:onderwijsjuristen@vosabb.nl" TargetMode="External"/><Relationship Id="rId1" Type="http://schemas.openxmlformats.org/officeDocument/2006/relationships/hyperlink" Target="mailto:be.keizer@wxs.n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vangingsfonds.nl/themas/bekostiging/eigenrisicodrager/erd-worde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osabb.n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osabb.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osabb.n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vosabb.nl/"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81"/>
  <sheetViews>
    <sheetView tabSelected="1" zoomScaleNormal="100" workbookViewId="0">
      <selection activeCell="D15" sqref="D15"/>
    </sheetView>
  </sheetViews>
  <sheetFormatPr defaultRowHeight="12.75" x14ac:dyDescent="0.2"/>
  <cols>
    <col min="1" max="1" width="3.7109375" style="102" customWidth="1"/>
    <col min="2" max="3" width="2.7109375" style="102" customWidth="1"/>
    <col min="4" max="4" width="11.42578125" style="102" customWidth="1"/>
    <col min="5" max="5" width="5.7109375" style="102" customWidth="1"/>
    <col min="6" max="7" width="14.85546875" style="102" customWidth="1"/>
    <col min="8" max="12" width="9.140625" style="102"/>
    <col min="13" max="13" width="9.7109375" style="102" customWidth="1"/>
    <col min="14" max="14" width="9.140625" style="102"/>
    <col min="15" max="16" width="2.7109375" style="102" customWidth="1"/>
    <col min="17" max="16384" width="9.140625" style="102"/>
  </cols>
  <sheetData>
    <row r="2" spans="2:18" x14ac:dyDescent="0.2">
      <c r="B2" s="105"/>
      <c r="C2" s="105"/>
      <c r="D2" s="105"/>
      <c r="E2" s="105"/>
      <c r="F2" s="105"/>
      <c r="G2" s="105"/>
      <c r="H2" s="105"/>
      <c r="I2" s="105"/>
      <c r="J2" s="105"/>
      <c r="K2" s="105"/>
      <c r="L2" s="105"/>
      <c r="M2" s="105"/>
      <c r="N2" s="105"/>
      <c r="O2" s="105"/>
      <c r="P2" s="105"/>
    </row>
    <row r="3" spans="2:18" x14ac:dyDescent="0.2">
      <c r="B3" s="106"/>
      <c r="C3" s="106"/>
      <c r="D3" s="106"/>
      <c r="E3" s="106"/>
      <c r="F3" s="106"/>
      <c r="G3" s="106"/>
      <c r="H3" s="106"/>
      <c r="I3" s="106"/>
      <c r="J3" s="106"/>
      <c r="K3" s="106"/>
      <c r="L3" s="106"/>
      <c r="M3" s="106"/>
      <c r="N3" s="106"/>
      <c r="O3" s="106"/>
      <c r="P3" s="106"/>
    </row>
    <row r="4" spans="2:18" s="104" customFormat="1" ht="18.75" x14ac:dyDescent="0.3">
      <c r="B4" s="107"/>
      <c r="C4" s="93" t="s">
        <v>28</v>
      </c>
      <c r="D4" s="107"/>
      <c r="E4" s="107"/>
      <c r="F4" s="107"/>
      <c r="G4" s="107"/>
      <c r="H4" s="107"/>
      <c r="I4" s="520" t="str">
        <f>+tabellen!B2&amp;tabellen!C2</f>
        <v>2020 vanaf 1 juli</v>
      </c>
      <c r="J4" s="107"/>
      <c r="K4" s="107"/>
      <c r="L4" s="107"/>
      <c r="M4" s="108"/>
      <c r="N4" s="107"/>
      <c r="O4" s="107"/>
      <c r="P4" s="107"/>
    </row>
    <row r="5" spans="2:18" x14ac:dyDescent="0.2">
      <c r="B5" s="106"/>
      <c r="C5" s="106"/>
      <c r="D5" s="109"/>
      <c r="E5" s="106"/>
      <c r="F5" s="106"/>
      <c r="G5" s="106"/>
      <c r="H5" s="106"/>
      <c r="I5" s="106"/>
      <c r="J5" s="106"/>
      <c r="K5" s="106"/>
      <c r="L5" s="106"/>
      <c r="M5" s="110"/>
      <c r="N5" s="109"/>
      <c r="O5" s="111"/>
      <c r="P5" s="106"/>
    </row>
    <row r="6" spans="2:18" x14ac:dyDescent="0.2">
      <c r="B6" s="106"/>
      <c r="C6" s="106"/>
      <c r="D6" s="109"/>
      <c r="E6" s="106"/>
      <c r="F6" s="106"/>
      <c r="G6" s="106"/>
      <c r="H6" s="106"/>
      <c r="I6" s="106"/>
      <c r="J6" s="106"/>
      <c r="K6" s="106"/>
      <c r="L6" s="106"/>
      <c r="M6" s="110"/>
      <c r="N6" s="109"/>
      <c r="O6" s="111"/>
      <c r="P6" s="106"/>
      <c r="R6" s="406"/>
    </row>
    <row r="7" spans="2:18" x14ac:dyDescent="0.2">
      <c r="B7" s="106"/>
      <c r="C7" s="106"/>
      <c r="D7" s="109"/>
      <c r="E7" s="106"/>
      <c r="F7" s="106"/>
      <c r="G7" s="106"/>
      <c r="H7" s="106"/>
      <c r="I7" s="106"/>
      <c r="J7" s="106"/>
      <c r="K7" s="106"/>
      <c r="L7" s="106"/>
      <c r="M7" s="110"/>
      <c r="N7" s="109"/>
      <c r="O7" s="111"/>
      <c r="P7" s="106"/>
      <c r="R7" s="406"/>
    </row>
    <row r="8" spans="2:18" x14ac:dyDescent="0.2">
      <c r="B8" s="106"/>
      <c r="C8" s="106"/>
      <c r="D8" s="106" t="s">
        <v>31</v>
      </c>
      <c r="E8" s="106"/>
      <c r="F8" s="106"/>
      <c r="G8" s="106"/>
      <c r="H8" s="106"/>
      <c r="I8" s="424" t="s">
        <v>275</v>
      </c>
      <c r="J8" s="106"/>
      <c r="K8" s="106"/>
      <c r="L8" s="106"/>
      <c r="M8" s="106"/>
      <c r="N8" s="106"/>
      <c r="O8" s="111"/>
      <c r="P8" s="106"/>
    </row>
    <row r="9" spans="2:18" x14ac:dyDescent="0.2">
      <c r="B9" s="106"/>
      <c r="C9" s="106"/>
      <c r="D9" s="106" t="s">
        <v>237</v>
      </c>
      <c r="E9" s="106"/>
      <c r="F9" s="106"/>
      <c r="G9" s="106"/>
      <c r="H9" s="106"/>
      <c r="I9" s="106"/>
      <c r="J9" s="106"/>
      <c r="K9" s="106"/>
      <c r="L9" s="106"/>
      <c r="M9" s="106"/>
      <c r="N9" s="106"/>
      <c r="O9" s="106"/>
      <c r="P9" s="106"/>
    </row>
    <row r="10" spans="2:18" x14ac:dyDescent="0.2">
      <c r="B10" s="106"/>
      <c r="C10" s="106"/>
      <c r="D10" s="106"/>
      <c r="E10" s="106"/>
      <c r="F10" s="106"/>
      <c r="G10" s="106"/>
      <c r="H10" s="106"/>
      <c r="I10" s="106"/>
      <c r="J10" s="106"/>
      <c r="K10" s="106"/>
      <c r="L10" s="106"/>
      <c r="M10" s="106"/>
      <c r="N10" s="106"/>
      <c r="O10" s="106"/>
      <c r="P10" s="106"/>
    </row>
    <row r="11" spans="2:18" x14ac:dyDescent="0.2">
      <c r="B11" s="106"/>
      <c r="C11" s="106"/>
      <c r="D11" s="377" t="s">
        <v>313</v>
      </c>
      <c r="E11" s="106"/>
      <c r="F11" s="106"/>
      <c r="G11" s="106"/>
      <c r="H11" s="106"/>
      <c r="I11" s="106"/>
      <c r="J11" s="106"/>
      <c r="K11" s="106"/>
      <c r="L11" s="106"/>
      <c r="M11" s="106"/>
      <c r="N11" s="106"/>
      <c r="O11" s="106"/>
      <c r="P11" s="106"/>
    </row>
    <row r="12" spans="2:18" x14ac:dyDescent="0.2">
      <c r="B12" s="106"/>
      <c r="C12" s="106"/>
      <c r="D12" s="377" t="s">
        <v>343</v>
      </c>
      <c r="E12" s="106"/>
      <c r="F12" s="106"/>
      <c r="G12" s="106"/>
      <c r="H12" s="106"/>
      <c r="I12" s="106"/>
      <c r="J12" s="106"/>
      <c r="K12" s="106"/>
      <c r="L12" s="106"/>
      <c r="M12" s="106"/>
      <c r="N12" s="106"/>
      <c r="O12" s="106"/>
      <c r="P12" s="106"/>
    </row>
    <row r="13" spans="2:18" x14ac:dyDescent="0.2">
      <c r="B13" s="106"/>
      <c r="C13" s="106"/>
      <c r="D13" s="106"/>
      <c r="E13" s="106"/>
      <c r="F13" s="106"/>
      <c r="G13" s="106"/>
      <c r="H13" s="106"/>
      <c r="I13" s="106"/>
      <c r="J13" s="106"/>
      <c r="K13" s="106"/>
      <c r="L13" s="106"/>
      <c r="M13" s="106"/>
      <c r="N13" s="106"/>
      <c r="O13" s="106"/>
      <c r="P13" s="106"/>
    </row>
    <row r="14" spans="2:18" x14ac:dyDescent="0.2">
      <c r="B14" s="106"/>
      <c r="C14" s="106"/>
      <c r="D14" s="377" t="s">
        <v>374</v>
      </c>
      <c r="E14" s="106"/>
      <c r="F14" s="106"/>
      <c r="G14" s="106"/>
      <c r="H14" s="106"/>
      <c r="I14" s="106"/>
      <c r="J14" s="106"/>
      <c r="K14" s="106"/>
      <c r="L14" s="106"/>
      <c r="M14" s="106"/>
      <c r="N14" s="106"/>
      <c r="O14" s="106"/>
      <c r="P14" s="106"/>
    </row>
    <row r="15" spans="2:18" x14ac:dyDescent="0.2">
      <c r="B15" s="106"/>
      <c r="C15" s="106"/>
      <c r="D15" s="543" t="s">
        <v>376</v>
      </c>
      <c r="E15" s="106"/>
      <c r="F15" s="106"/>
      <c r="G15" s="106"/>
      <c r="H15" s="106"/>
      <c r="I15" s="106"/>
      <c r="J15" s="106"/>
      <c r="K15" s="106"/>
      <c r="L15" s="106"/>
      <c r="M15" s="106"/>
      <c r="N15" s="106"/>
      <c r="O15" s="106"/>
      <c r="P15" s="106"/>
    </row>
    <row r="16" spans="2:18" x14ac:dyDescent="0.2">
      <c r="B16" s="106"/>
      <c r="C16" s="106"/>
      <c r="D16" s="377" t="s">
        <v>355</v>
      </c>
      <c r="E16" s="106"/>
      <c r="F16" s="106"/>
      <c r="G16" s="106"/>
      <c r="H16" s="106"/>
      <c r="I16" s="106"/>
      <c r="J16" s="106"/>
      <c r="K16" s="106"/>
      <c r="L16" s="106"/>
      <c r="M16" s="106"/>
      <c r="N16" s="106"/>
      <c r="O16" s="106"/>
      <c r="P16" s="106"/>
    </row>
    <row r="17" spans="2:16" x14ac:dyDescent="0.2">
      <c r="B17" s="106"/>
      <c r="C17" s="106"/>
      <c r="D17" s="377"/>
      <c r="E17" s="106"/>
      <c r="F17" s="106"/>
      <c r="G17" s="106"/>
      <c r="H17" s="106"/>
      <c r="I17" s="106"/>
      <c r="J17" s="106"/>
      <c r="K17" s="106"/>
      <c r="L17" s="106"/>
      <c r="M17" s="106"/>
      <c r="N17" s="106"/>
      <c r="O17" s="106"/>
      <c r="P17" s="106"/>
    </row>
    <row r="18" spans="2:16" x14ac:dyDescent="0.2">
      <c r="B18" s="106"/>
      <c r="C18" s="106"/>
      <c r="D18" s="377" t="s">
        <v>301</v>
      </c>
      <c r="E18" s="106"/>
      <c r="F18" s="106"/>
      <c r="G18" s="106"/>
      <c r="H18" s="106"/>
      <c r="I18" s="106"/>
      <c r="J18" s="106"/>
      <c r="K18" s="106"/>
      <c r="L18" s="106"/>
      <c r="M18" s="106"/>
      <c r="N18" s="106"/>
      <c r="O18" s="106"/>
      <c r="P18" s="106"/>
    </row>
    <row r="19" spans="2:16" x14ac:dyDescent="0.2">
      <c r="B19" s="106"/>
      <c r="C19" s="106"/>
      <c r="D19" s="377" t="s">
        <v>317</v>
      </c>
      <c r="E19" s="106"/>
      <c r="F19" s="106"/>
      <c r="G19" s="106"/>
      <c r="H19" s="106"/>
      <c r="I19" s="106"/>
      <c r="J19" s="106"/>
      <c r="K19" s="106"/>
      <c r="L19" s="106"/>
      <c r="M19" s="106"/>
      <c r="N19" s="106"/>
      <c r="O19" s="106"/>
      <c r="P19" s="106"/>
    </row>
    <row r="20" spans="2:16" x14ac:dyDescent="0.2">
      <c r="B20" s="106"/>
      <c r="C20" s="106"/>
      <c r="D20" s="450" t="s">
        <v>318</v>
      </c>
      <c r="E20" s="106"/>
      <c r="F20" s="106"/>
      <c r="G20" s="106"/>
      <c r="H20" s="106"/>
      <c r="I20" s="106"/>
      <c r="J20" s="106"/>
      <c r="K20" s="106"/>
      <c r="L20" s="106"/>
      <c r="M20" s="106"/>
      <c r="N20" s="106"/>
      <c r="O20" s="106"/>
      <c r="P20" s="106"/>
    </row>
    <row r="21" spans="2:16" x14ac:dyDescent="0.2">
      <c r="B21" s="106"/>
      <c r="C21" s="106"/>
      <c r="D21" s="377" t="s">
        <v>302</v>
      </c>
      <c r="E21" s="106"/>
      <c r="F21" s="106"/>
      <c r="G21" s="106"/>
      <c r="H21" s="106"/>
      <c r="I21" s="106"/>
      <c r="J21" s="106"/>
      <c r="K21" s="106"/>
      <c r="L21" s="106"/>
      <c r="M21" s="106"/>
      <c r="N21" s="106"/>
      <c r="O21" s="106"/>
      <c r="P21" s="106"/>
    </row>
    <row r="22" spans="2:16" x14ac:dyDescent="0.2">
      <c r="B22" s="106"/>
      <c r="C22" s="106"/>
      <c r="D22" s="377" t="s">
        <v>367</v>
      </c>
      <c r="E22" s="106"/>
      <c r="F22" s="106"/>
      <c r="G22" s="106"/>
      <c r="H22" s="106"/>
      <c r="I22" s="106"/>
      <c r="J22" s="106"/>
      <c r="K22" s="106"/>
      <c r="L22" s="106"/>
      <c r="M22" s="106"/>
      <c r="N22" s="106"/>
      <c r="O22" s="106"/>
      <c r="P22" s="106"/>
    </row>
    <row r="23" spans="2:16" x14ac:dyDescent="0.2">
      <c r="B23" s="106"/>
      <c r="C23" s="106"/>
      <c r="D23" s="377" t="s">
        <v>368</v>
      </c>
      <c r="E23" s="106"/>
      <c r="F23" s="106"/>
      <c r="G23" s="106"/>
      <c r="H23" s="106"/>
      <c r="I23" s="106"/>
      <c r="J23" s="106"/>
      <c r="K23" s="106"/>
      <c r="L23" s="106"/>
      <c r="M23" s="106"/>
      <c r="N23" s="106"/>
      <c r="O23" s="106"/>
      <c r="P23" s="106"/>
    </row>
    <row r="24" spans="2:16" x14ac:dyDescent="0.2">
      <c r="B24" s="106"/>
      <c r="C24" s="106"/>
      <c r="D24" s="106" t="s">
        <v>211</v>
      </c>
      <c r="E24" s="106"/>
      <c r="F24" s="106"/>
      <c r="G24" s="106"/>
      <c r="H24" s="106"/>
      <c r="I24" s="106"/>
      <c r="J24" s="106"/>
      <c r="K24" s="106"/>
      <c r="L24" s="106"/>
      <c r="M24" s="106"/>
      <c r="N24" s="106"/>
      <c r="O24" s="106"/>
      <c r="P24" s="106"/>
    </row>
    <row r="25" spans="2:16" x14ac:dyDescent="0.2">
      <c r="B25" s="106"/>
      <c r="C25" s="106"/>
      <c r="D25" s="106" t="s">
        <v>238</v>
      </c>
      <c r="E25" s="106"/>
      <c r="F25" s="106"/>
      <c r="G25" s="106"/>
      <c r="H25" s="106"/>
      <c r="I25" s="106"/>
      <c r="J25" s="106"/>
      <c r="K25" s="106"/>
      <c r="L25" s="106"/>
      <c r="M25" s="106"/>
      <c r="N25" s="106"/>
      <c r="O25" s="106"/>
      <c r="P25" s="106"/>
    </row>
    <row r="26" spans="2:16" x14ac:dyDescent="0.2">
      <c r="B26" s="106"/>
      <c r="C26" s="106"/>
      <c r="D26" s="106" t="s">
        <v>208</v>
      </c>
      <c r="E26" s="106"/>
      <c r="F26" s="106"/>
      <c r="G26" s="106"/>
      <c r="H26" s="106"/>
      <c r="I26" s="106"/>
      <c r="J26" s="106"/>
      <c r="K26" s="106"/>
      <c r="L26" s="106"/>
      <c r="M26" s="106"/>
      <c r="N26" s="106"/>
      <c r="O26" s="106"/>
      <c r="P26" s="106"/>
    </row>
    <row r="27" spans="2:16" x14ac:dyDescent="0.2">
      <c r="B27" s="106"/>
      <c r="C27" s="106"/>
      <c r="D27" s="377" t="s">
        <v>280</v>
      </c>
      <c r="E27" s="106"/>
      <c r="F27" s="106"/>
      <c r="G27" s="106"/>
      <c r="H27" s="106"/>
      <c r="I27" s="106"/>
      <c r="J27" s="106"/>
      <c r="K27" s="106"/>
      <c r="L27" s="106"/>
      <c r="M27" s="106"/>
      <c r="N27" s="106"/>
      <c r="O27" s="106"/>
      <c r="P27" s="106"/>
    </row>
    <row r="28" spans="2:16" x14ac:dyDescent="0.2">
      <c r="B28" s="106"/>
      <c r="C28" s="106"/>
      <c r="D28" s="378"/>
      <c r="E28" s="106"/>
      <c r="F28" s="106"/>
      <c r="G28" s="106"/>
      <c r="H28" s="106"/>
      <c r="I28" s="106"/>
      <c r="J28" s="106"/>
      <c r="K28" s="106"/>
      <c r="L28" s="106"/>
      <c r="M28" s="106"/>
      <c r="N28" s="106"/>
      <c r="O28" s="106"/>
      <c r="P28" s="106"/>
    </row>
    <row r="29" spans="2:16" x14ac:dyDescent="0.2">
      <c r="B29" s="106"/>
      <c r="C29" s="106"/>
      <c r="D29" s="423" t="s">
        <v>303</v>
      </c>
      <c r="E29" s="106"/>
      <c r="F29" s="106"/>
      <c r="G29" s="106"/>
      <c r="H29" s="106"/>
      <c r="I29" s="106"/>
      <c r="J29" s="106"/>
      <c r="K29" s="106"/>
      <c r="L29" s="106"/>
      <c r="M29" s="451" t="s">
        <v>340</v>
      </c>
      <c r="N29" s="106"/>
      <c r="O29" s="106"/>
      <c r="P29" s="106"/>
    </row>
    <row r="30" spans="2:16" x14ac:dyDescent="0.2">
      <c r="B30" s="106"/>
      <c r="C30" s="106"/>
      <c r="D30" s="423" t="s">
        <v>341</v>
      </c>
      <c r="E30" s="106"/>
      <c r="F30" s="106"/>
      <c r="G30" s="106"/>
      <c r="H30" s="106"/>
      <c r="I30" s="106"/>
      <c r="J30" s="106"/>
      <c r="K30" s="106"/>
      <c r="L30" s="106"/>
      <c r="M30" s="106"/>
      <c r="N30" s="106"/>
      <c r="O30" s="106"/>
      <c r="P30" s="106"/>
    </row>
    <row r="31" spans="2:16" x14ac:dyDescent="0.2">
      <c r="B31" s="106"/>
      <c r="C31" s="106"/>
      <c r="D31" s="455" t="s">
        <v>202</v>
      </c>
      <c r="E31" s="106"/>
      <c r="F31" s="106"/>
      <c r="G31" s="458">
        <v>6.0999999999999999E-2</v>
      </c>
      <c r="H31" s="106"/>
      <c r="I31" s="106"/>
      <c r="J31" s="106"/>
      <c r="K31" s="106"/>
      <c r="L31" s="106"/>
      <c r="M31" s="106"/>
      <c r="N31" s="106"/>
      <c r="O31" s="106"/>
      <c r="P31" s="106"/>
    </row>
    <row r="32" spans="2:16" x14ac:dyDescent="0.2">
      <c r="B32" s="106"/>
      <c r="C32" s="106"/>
      <c r="D32" s="455" t="s">
        <v>203</v>
      </c>
      <c r="E32" s="106"/>
      <c r="F32" s="106"/>
      <c r="G32" s="458">
        <v>6.0999999999999999E-2</v>
      </c>
      <c r="H32" s="106"/>
      <c r="I32" s="106"/>
      <c r="J32" s="106"/>
      <c r="K32" s="106"/>
      <c r="L32" s="106"/>
      <c r="M32" s="106"/>
      <c r="N32" s="106"/>
      <c r="O32" s="106"/>
      <c r="P32" s="106"/>
    </row>
    <row r="33" spans="2:16" x14ac:dyDescent="0.2">
      <c r="B33" s="106"/>
      <c r="C33" s="106"/>
      <c r="D33" s="455" t="s">
        <v>309</v>
      </c>
      <c r="E33" s="106"/>
      <c r="F33" s="106"/>
      <c r="G33" s="458">
        <v>1.5E-3</v>
      </c>
      <c r="H33" s="106"/>
      <c r="I33" s="106"/>
      <c r="J33" s="106"/>
      <c r="K33" s="106"/>
      <c r="L33" s="106"/>
      <c r="M33" s="106"/>
      <c r="N33" s="106"/>
      <c r="O33" s="106"/>
      <c r="P33" s="106"/>
    </row>
    <row r="34" spans="2:16" x14ac:dyDescent="0.2">
      <c r="B34" s="106"/>
      <c r="C34" s="106"/>
      <c r="D34" s="455" t="s">
        <v>255</v>
      </c>
      <c r="E34" s="106"/>
      <c r="F34" s="106"/>
      <c r="G34" s="458">
        <v>0</v>
      </c>
      <c r="H34" s="106"/>
      <c r="I34" s="106"/>
      <c r="J34" s="106"/>
      <c r="K34" s="106"/>
      <c r="L34" s="106"/>
      <c r="M34" s="106"/>
      <c r="N34" s="106"/>
      <c r="O34" s="106"/>
      <c r="P34" s="106"/>
    </row>
    <row r="35" spans="2:16" x14ac:dyDescent="0.2">
      <c r="B35" s="106"/>
      <c r="C35" s="106"/>
      <c r="D35" s="423" t="s">
        <v>310</v>
      </c>
      <c r="E35" s="106"/>
      <c r="F35" s="106"/>
      <c r="G35" s="106"/>
      <c r="H35" s="106"/>
      <c r="I35" s="106"/>
      <c r="J35" s="106"/>
      <c r="K35" s="106"/>
      <c r="L35" s="106"/>
      <c r="M35" s="106"/>
      <c r="N35" s="106"/>
      <c r="O35" s="106"/>
      <c r="P35" s="106"/>
    </row>
    <row r="36" spans="2:16" ht="12.75" customHeight="1" x14ac:dyDescent="0.2">
      <c r="B36" s="106"/>
      <c r="C36" s="106"/>
      <c r="D36" s="456" t="s">
        <v>304</v>
      </c>
      <c r="E36" s="456"/>
      <c r="F36" s="454">
        <v>1.5E-3</v>
      </c>
      <c r="G36" s="106"/>
      <c r="H36" s="106"/>
      <c r="I36" s="106"/>
      <c r="J36" s="106"/>
      <c r="K36" s="106"/>
      <c r="L36" s="106"/>
      <c r="M36" s="106"/>
      <c r="N36" s="106"/>
      <c r="O36" s="106"/>
      <c r="P36" s="106"/>
    </row>
    <row r="37" spans="2:16" ht="12.75" customHeight="1" x14ac:dyDescent="0.2">
      <c r="B37" s="106"/>
      <c r="C37" s="106"/>
      <c r="D37" s="456" t="s">
        <v>305</v>
      </c>
      <c r="E37" s="456"/>
      <c r="F37" s="454">
        <v>3.85E-2</v>
      </c>
      <c r="G37" s="106"/>
      <c r="H37" s="106"/>
      <c r="I37" s="106"/>
      <c r="J37" s="106"/>
      <c r="K37" s="106"/>
      <c r="L37" s="106"/>
      <c r="M37" s="106"/>
      <c r="N37" s="106"/>
      <c r="O37" s="106"/>
      <c r="P37" s="106"/>
    </row>
    <row r="38" spans="2:16" ht="12.75" customHeight="1" x14ac:dyDescent="0.2">
      <c r="B38" s="106"/>
      <c r="C38" s="106"/>
      <c r="D38" s="457" t="s">
        <v>306</v>
      </c>
      <c r="E38" s="457"/>
      <c r="F38" s="454">
        <v>3.2500000000000001E-2</v>
      </c>
      <c r="G38" s="106"/>
      <c r="H38" s="106"/>
      <c r="I38" s="106"/>
      <c r="J38" s="106"/>
      <c r="K38" s="106"/>
      <c r="L38" s="106"/>
      <c r="M38" s="106"/>
      <c r="N38" s="106"/>
      <c r="O38" s="106"/>
      <c r="P38" s="106"/>
    </row>
    <row r="39" spans="2:16" ht="12.75" customHeight="1" x14ac:dyDescent="0.2">
      <c r="B39" s="106"/>
      <c r="C39" s="106"/>
      <c r="D39" s="457" t="s">
        <v>307</v>
      </c>
      <c r="E39" s="457"/>
      <c r="F39" s="454">
        <v>8.5000000000000006E-3</v>
      </c>
      <c r="G39" s="106"/>
      <c r="H39" s="106"/>
      <c r="I39" s="106"/>
      <c r="J39" s="106"/>
      <c r="K39" s="106"/>
      <c r="L39" s="106"/>
      <c r="M39" s="106"/>
      <c r="N39" s="106"/>
      <c r="O39" s="106"/>
      <c r="P39" s="106"/>
    </row>
    <row r="40" spans="2:16" ht="12.75" customHeight="1" x14ac:dyDescent="0.2">
      <c r="B40" s="106"/>
      <c r="C40" s="106"/>
      <c r="D40" s="457" t="s">
        <v>308</v>
      </c>
      <c r="E40" s="457"/>
      <c r="F40" s="454">
        <v>5.4999999999999997E-3</v>
      </c>
      <c r="G40" s="106"/>
      <c r="H40" s="106"/>
      <c r="I40" s="106"/>
      <c r="J40" s="106"/>
      <c r="K40" s="106"/>
      <c r="L40" s="106"/>
      <c r="M40" s="106"/>
      <c r="N40" s="106"/>
      <c r="O40" s="106"/>
      <c r="P40" s="106"/>
    </row>
    <row r="41" spans="2:16" x14ac:dyDescent="0.2">
      <c r="B41" s="106"/>
      <c r="C41" s="106"/>
      <c r="D41" s="428" t="s">
        <v>369</v>
      </c>
      <c r="E41" s="106"/>
      <c r="F41" s="106"/>
      <c r="G41" s="106"/>
      <c r="H41" s="106"/>
      <c r="I41" s="106"/>
      <c r="J41" s="106"/>
      <c r="K41" s="106"/>
      <c r="L41" s="106"/>
      <c r="M41" s="106"/>
      <c r="N41" s="106"/>
      <c r="O41" s="106"/>
      <c r="P41" s="106"/>
    </row>
    <row r="42" spans="2:16" x14ac:dyDescent="0.2">
      <c r="B42" s="106"/>
      <c r="C42" s="106"/>
      <c r="D42" s="429" t="s">
        <v>375</v>
      </c>
      <c r="E42" s="106"/>
      <c r="F42" s="106"/>
      <c r="G42" s="106"/>
      <c r="H42" s="106"/>
      <c r="I42" s="106"/>
      <c r="J42" s="106"/>
      <c r="K42" s="106"/>
      <c r="L42" s="106"/>
      <c r="M42" s="106"/>
      <c r="N42" s="106"/>
      <c r="O42" s="106"/>
      <c r="P42" s="106"/>
    </row>
    <row r="43" spans="2:16" x14ac:dyDescent="0.2">
      <c r="B43" s="106"/>
      <c r="C43" s="106"/>
      <c r="D43" s="106"/>
      <c r="E43" s="106"/>
      <c r="F43" s="106"/>
      <c r="G43" s="106"/>
      <c r="H43" s="106"/>
      <c r="I43" s="106"/>
      <c r="J43" s="106"/>
      <c r="K43" s="106"/>
      <c r="L43" s="106"/>
      <c r="M43" s="106"/>
      <c r="N43" s="106"/>
      <c r="O43" s="106"/>
      <c r="P43" s="106"/>
    </row>
    <row r="44" spans="2:16" x14ac:dyDescent="0.2">
      <c r="B44" s="106"/>
      <c r="C44" s="106"/>
      <c r="D44" s="106" t="s">
        <v>240</v>
      </c>
      <c r="E44" s="106"/>
      <c r="F44" s="106"/>
      <c r="G44" s="106"/>
      <c r="H44" s="106"/>
      <c r="I44" s="106"/>
      <c r="J44" s="106"/>
      <c r="K44" s="106"/>
      <c r="L44" s="106"/>
      <c r="M44" s="106"/>
      <c r="N44" s="106"/>
      <c r="O44" s="106"/>
      <c r="P44" s="106"/>
    </row>
    <row r="45" spans="2:16" x14ac:dyDescent="0.2">
      <c r="B45" s="106"/>
      <c r="C45" s="106"/>
      <c r="D45" s="106" t="s">
        <v>251</v>
      </c>
      <c r="E45" s="106"/>
      <c r="F45" s="106"/>
      <c r="G45" s="106"/>
      <c r="H45" s="106"/>
      <c r="I45" s="106"/>
      <c r="J45" s="106"/>
      <c r="K45" s="106"/>
      <c r="L45" s="106"/>
      <c r="M45" s="106"/>
      <c r="N45" s="106"/>
      <c r="O45" s="106"/>
      <c r="P45" s="106"/>
    </row>
    <row r="46" spans="2:16" x14ac:dyDescent="0.2">
      <c r="B46" s="106"/>
      <c r="C46" s="106"/>
      <c r="D46" s="377" t="s">
        <v>295</v>
      </c>
      <c r="E46" s="106"/>
      <c r="F46" s="106"/>
      <c r="G46" s="106"/>
      <c r="H46" s="106"/>
      <c r="I46" s="106"/>
      <c r="J46" s="106"/>
      <c r="K46" s="106"/>
      <c r="L46" s="106"/>
      <c r="M46" s="106"/>
      <c r="N46" s="106"/>
      <c r="O46" s="106"/>
      <c r="P46" s="106"/>
    </row>
    <row r="47" spans="2:16" x14ac:dyDescent="0.2">
      <c r="B47" s="106"/>
      <c r="C47" s="106"/>
      <c r="D47" s="106"/>
      <c r="E47" s="106"/>
      <c r="F47" s="106"/>
      <c r="G47" s="106"/>
      <c r="H47" s="106"/>
      <c r="I47" s="106"/>
      <c r="J47" s="106"/>
      <c r="K47" s="106"/>
      <c r="L47" s="106"/>
      <c r="M47" s="106"/>
      <c r="N47" s="106"/>
      <c r="O47" s="106"/>
      <c r="P47" s="106"/>
    </row>
    <row r="48" spans="2:16" x14ac:dyDescent="0.2">
      <c r="B48" s="110"/>
      <c r="C48" s="110">
        <v>1</v>
      </c>
      <c r="D48" s="109" t="s">
        <v>29</v>
      </c>
      <c r="E48" s="106"/>
      <c r="F48" s="106"/>
      <c r="G48" s="106"/>
      <c r="H48" s="106"/>
      <c r="I48" s="133"/>
      <c r="J48" s="133"/>
      <c r="K48" s="133"/>
      <c r="L48" s="106"/>
      <c r="M48" s="106"/>
      <c r="N48" s="106"/>
      <c r="O48" s="106"/>
      <c r="P48" s="106"/>
    </row>
    <row r="49" spans="1:16" x14ac:dyDescent="0.2">
      <c r="B49" s="106"/>
      <c r="C49" s="106"/>
      <c r="D49" s="109" t="s">
        <v>162</v>
      </c>
      <c r="E49" s="106"/>
      <c r="F49" s="106"/>
      <c r="G49" s="106"/>
      <c r="H49" s="106"/>
      <c r="I49" s="133"/>
      <c r="J49" s="133"/>
      <c r="K49" s="133"/>
      <c r="L49" s="106"/>
      <c r="M49" s="106"/>
      <c r="N49" s="106"/>
      <c r="O49" s="106"/>
      <c r="P49" s="106"/>
    </row>
    <row r="50" spans="1:16" x14ac:dyDescent="0.2">
      <c r="B50" s="106"/>
      <c r="C50" s="106"/>
      <c r="D50" s="407" t="s">
        <v>265</v>
      </c>
      <c r="E50" s="106"/>
      <c r="F50" s="106"/>
      <c r="G50" s="106"/>
      <c r="H50" s="106"/>
      <c r="I50" s="133"/>
      <c r="J50" s="133"/>
      <c r="K50" s="133"/>
      <c r="L50" s="106"/>
      <c r="M50" s="106"/>
      <c r="N50" s="106"/>
      <c r="O50" s="106"/>
      <c r="P50" s="106"/>
    </row>
    <row r="51" spans="1:16" x14ac:dyDescent="0.2">
      <c r="B51" s="106"/>
      <c r="C51" s="106"/>
      <c r="D51" s="407" t="s">
        <v>266</v>
      </c>
      <c r="E51" s="106"/>
      <c r="F51" s="106"/>
      <c r="G51" s="106"/>
      <c r="H51" s="106"/>
      <c r="I51" s="133"/>
      <c r="J51" s="133"/>
      <c r="K51" s="133"/>
      <c r="L51" s="106"/>
      <c r="M51" s="106"/>
      <c r="N51" s="106"/>
      <c r="O51" s="106"/>
      <c r="P51" s="106"/>
    </row>
    <row r="52" spans="1:16" x14ac:dyDescent="0.2">
      <c r="B52" s="106"/>
      <c r="C52" s="106"/>
      <c r="D52" s="407" t="s">
        <v>267</v>
      </c>
      <c r="E52" s="106"/>
      <c r="F52" s="106"/>
      <c r="G52" s="106"/>
      <c r="H52" s="106"/>
      <c r="I52" s="133"/>
      <c r="J52" s="133"/>
      <c r="K52" s="133"/>
      <c r="L52" s="106"/>
      <c r="M52" s="106"/>
      <c r="N52" s="106"/>
      <c r="O52" s="106"/>
      <c r="P52" s="106"/>
    </row>
    <row r="53" spans="1:16" x14ac:dyDescent="0.2">
      <c r="B53" s="106"/>
      <c r="C53" s="106"/>
      <c r="D53" s="407" t="s">
        <v>247</v>
      </c>
      <c r="E53" s="106"/>
      <c r="F53" s="106"/>
      <c r="G53" s="106"/>
      <c r="H53" s="106"/>
      <c r="I53" s="133"/>
      <c r="J53" s="133"/>
      <c r="K53" s="133"/>
      <c r="L53" s="106"/>
      <c r="M53" s="106"/>
      <c r="N53" s="106"/>
      <c r="O53" s="106"/>
      <c r="P53" s="106"/>
    </row>
    <row r="54" spans="1:16" x14ac:dyDescent="0.2">
      <c r="B54" s="106"/>
      <c r="C54" s="106"/>
      <c r="D54" s="407" t="s">
        <v>248</v>
      </c>
      <c r="E54" s="106"/>
      <c r="F54" s="106"/>
      <c r="G54" s="106"/>
      <c r="H54" s="106"/>
      <c r="I54" s="133"/>
      <c r="J54" s="133"/>
      <c r="K54" s="133"/>
      <c r="L54" s="106"/>
      <c r="M54" s="106"/>
      <c r="N54" s="106"/>
      <c r="O54" s="106"/>
      <c r="P54" s="106"/>
    </row>
    <row r="55" spans="1:16" x14ac:dyDescent="0.2">
      <c r="B55" s="106"/>
      <c r="C55" s="106"/>
      <c r="D55" s="407" t="s">
        <v>249</v>
      </c>
      <c r="E55" s="106"/>
      <c r="F55" s="106"/>
      <c r="G55" s="106"/>
      <c r="H55" s="106"/>
      <c r="I55" s="133"/>
      <c r="J55" s="133"/>
      <c r="K55" s="133"/>
      <c r="L55" s="106"/>
      <c r="M55" s="106"/>
      <c r="N55" s="106"/>
      <c r="O55" s="106"/>
      <c r="P55" s="106"/>
    </row>
    <row r="56" spans="1:16" x14ac:dyDescent="0.2">
      <c r="A56" s="103"/>
      <c r="B56" s="106"/>
      <c r="C56" s="106"/>
      <c r="D56" s="132"/>
      <c r="E56" s="106"/>
      <c r="F56" s="106"/>
      <c r="G56" s="106"/>
      <c r="H56" s="106"/>
      <c r="I56" s="133"/>
      <c r="J56" s="133"/>
      <c r="K56" s="133"/>
      <c r="L56" s="106"/>
      <c r="M56" s="106"/>
      <c r="N56" s="106"/>
      <c r="O56" s="106"/>
      <c r="P56" s="106"/>
    </row>
    <row r="57" spans="1:16" x14ac:dyDescent="0.2">
      <c r="B57" s="106"/>
      <c r="C57" s="106"/>
      <c r="D57" s="132" t="s">
        <v>97</v>
      </c>
      <c r="E57" s="106"/>
      <c r="F57" s="106"/>
      <c r="G57" s="106"/>
      <c r="H57" s="106"/>
      <c r="I57" s="133"/>
      <c r="J57" s="133"/>
      <c r="K57" s="133"/>
      <c r="L57" s="106"/>
      <c r="M57" s="106"/>
      <c r="N57" s="106"/>
      <c r="O57" s="106"/>
      <c r="P57" s="106"/>
    </row>
    <row r="58" spans="1:16" x14ac:dyDescent="0.2">
      <c r="B58" s="106"/>
      <c r="C58" s="106"/>
      <c r="D58" s="132" t="s">
        <v>98</v>
      </c>
      <c r="E58" s="106"/>
      <c r="F58" s="106"/>
      <c r="G58" s="106"/>
      <c r="H58" s="106"/>
      <c r="I58" s="133"/>
      <c r="J58" s="133"/>
      <c r="K58" s="133"/>
      <c r="L58" s="106"/>
      <c r="M58" s="106"/>
      <c r="N58" s="106"/>
      <c r="O58" s="106"/>
      <c r="P58" s="106"/>
    </row>
    <row r="59" spans="1:16" x14ac:dyDescent="0.2">
      <c r="B59" s="106"/>
      <c r="C59" s="106"/>
      <c r="D59" s="416" t="s">
        <v>319</v>
      </c>
      <c r="E59" s="106"/>
      <c r="F59" s="106"/>
      <c r="G59" s="106"/>
      <c r="H59" s="106"/>
      <c r="I59" s="133"/>
      <c r="J59" s="133"/>
      <c r="K59" s="133"/>
      <c r="L59" s="106"/>
      <c r="M59" s="106"/>
      <c r="N59" s="106"/>
      <c r="O59" s="106"/>
      <c r="P59" s="106"/>
    </row>
    <row r="60" spans="1:16" x14ac:dyDescent="0.2">
      <c r="B60" s="106"/>
      <c r="C60" s="106"/>
      <c r="D60" s="416" t="s">
        <v>281</v>
      </c>
      <c r="E60" s="106"/>
      <c r="F60" s="106"/>
      <c r="G60" s="106"/>
      <c r="H60" s="106"/>
      <c r="I60" s="133"/>
      <c r="J60" s="133"/>
      <c r="K60" s="133"/>
      <c r="L60" s="106"/>
      <c r="M60" s="106"/>
      <c r="N60" s="106"/>
      <c r="O60" s="106"/>
      <c r="P60" s="106"/>
    </row>
    <row r="61" spans="1:16" x14ac:dyDescent="0.2">
      <c r="B61" s="106"/>
      <c r="C61" s="106"/>
      <c r="D61" s="109"/>
      <c r="E61" s="106"/>
      <c r="F61" s="106"/>
      <c r="G61" s="106"/>
      <c r="H61" s="106"/>
      <c r="I61" s="133"/>
      <c r="J61" s="133"/>
      <c r="K61" s="133"/>
      <c r="L61" s="106"/>
      <c r="M61" s="106"/>
      <c r="N61" s="106"/>
      <c r="O61" s="106"/>
      <c r="P61" s="106"/>
    </row>
    <row r="62" spans="1:16" x14ac:dyDescent="0.2">
      <c r="B62" s="106"/>
      <c r="C62" s="106"/>
      <c r="D62" s="106" t="s">
        <v>57</v>
      </c>
      <c r="E62" s="106"/>
      <c r="F62" s="106"/>
      <c r="G62" s="106"/>
      <c r="H62" s="106"/>
      <c r="I62" s="133"/>
      <c r="J62" s="133"/>
      <c r="K62" s="133"/>
      <c r="L62" s="106"/>
      <c r="M62" s="106"/>
      <c r="N62" s="106"/>
      <c r="O62" s="106"/>
      <c r="P62" s="106"/>
    </row>
    <row r="63" spans="1:16" x14ac:dyDescent="0.2">
      <c r="B63" s="106"/>
      <c r="C63" s="106"/>
      <c r="D63" s="106" t="s">
        <v>58</v>
      </c>
      <c r="E63" s="106"/>
      <c r="F63" s="106"/>
      <c r="G63" s="106"/>
      <c r="H63" s="106"/>
      <c r="I63" s="133"/>
      <c r="J63" s="133"/>
      <c r="K63" s="133"/>
      <c r="L63" s="106"/>
      <c r="M63" s="106"/>
      <c r="N63" s="106"/>
      <c r="O63" s="106"/>
      <c r="P63" s="106"/>
    </row>
    <row r="64" spans="1:16" x14ac:dyDescent="0.2">
      <c r="B64" s="106"/>
      <c r="C64" s="106"/>
      <c r="D64" s="106" t="s">
        <v>250</v>
      </c>
      <c r="E64" s="106"/>
      <c r="F64" s="106"/>
      <c r="G64" s="106"/>
      <c r="H64" s="106"/>
      <c r="I64" s="133"/>
      <c r="J64" s="133"/>
      <c r="K64" s="133"/>
      <c r="L64" s="106"/>
      <c r="M64" s="106"/>
      <c r="N64" s="106"/>
      <c r="O64" s="106"/>
      <c r="P64" s="106"/>
    </row>
    <row r="65" spans="2:16" x14ac:dyDescent="0.2">
      <c r="B65" s="106"/>
      <c r="C65" s="106"/>
      <c r="D65" s="106"/>
      <c r="E65" s="106"/>
      <c r="F65" s="106"/>
      <c r="G65" s="106"/>
      <c r="H65" s="106"/>
      <c r="I65" s="133"/>
      <c r="J65" s="133"/>
      <c r="K65" s="133"/>
      <c r="L65" s="106"/>
      <c r="M65" s="106"/>
      <c r="N65" s="106"/>
      <c r="O65" s="106"/>
      <c r="P65" s="106"/>
    </row>
    <row r="66" spans="2:16" x14ac:dyDescent="0.2">
      <c r="B66" s="106"/>
      <c r="C66" s="106"/>
      <c r="D66" s="403" t="s">
        <v>282</v>
      </c>
      <c r="E66" s="106"/>
      <c r="F66" s="106"/>
      <c r="G66" s="106"/>
      <c r="H66" s="106"/>
      <c r="I66" s="133"/>
      <c r="J66" s="133"/>
      <c r="K66" s="133"/>
      <c r="L66" s="106"/>
      <c r="M66" s="106"/>
      <c r="N66" s="106"/>
      <c r="O66" s="106"/>
      <c r="P66" s="106"/>
    </row>
    <row r="67" spans="2:16" x14ac:dyDescent="0.2">
      <c r="B67" s="106"/>
      <c r="C67" s="106"/>
      <c r="D67" s="377" t="s">
        <v>314</v>
      </c>
      <c r="E67" s="106"/>
      <c r="F67" s="106"/>
      <c r="G67" s="106"/>
      <c r="H67" s="106"/>
      <c r="I67" s="133"/>
      <c r="J67" s="133"/>
      <c r="K67" s="133"/>
      <c r="L67" s="106"/>
      <c r="M67" s="106"/>
      <c r="N67" s="106"/>
      <c r="O67" s="106"/>
      <c r="P67" s="106"/>
    </row>
    <row r="68" spans="2:16" x14ac:dyDescent="0.2">
      <c r="B68" s="106"/>
      <c r="C68" s="106"/>
      <c r="D68" s="377" t="s">
        <v>296</v>
      </c>
      <c r="E68" s="106"/>
      <c r="F68" s="106"/>
      <c r="G68" s="106"/>
      <c r="H68" s="106"/>
      <c r="I68" s="133"/>
      <c r="J68" s="133"/>
      <c r="K68" s="133"/>
      <c r="L68" s="106"/>
      <c r="M68" s="106"/>
      <c r="N68" s="106"/>
      <c r="O68" s="106"/>
      <c r="P68" s="106"/>
    </row>
    <row r="69" spans="2:16" x14ac:dyDescent="0.2">
      <c r="B69" s="106"/>
      <c r="C69" s="106"/>
      <c r="D69" s="519" t="s">
        <v>283</v>
      </c>
      <c r="E69" s="106"/>
      <c r="F69" s="106"/>
      <c r="G69" s="106"/>
      <c r="H69" s="106"/>
      <c r="I69" s="133"/>
      <c r="J69" s="133"/>
      <c r="K69" s="133"/>
      <c r="L69" s="106"/>
      <c r="M69" s="106"/>
      <c r="N69" s="106"/>
      <c r="O69" s="106"/>
      <c r="P69" s="106"/>
    </row>
    <row r="70" spans="2:16" x14ac:dyDescent="0.2">
      <c r="B70" s="106"/>
      <c r="C70" s="106"/>
      <c r="D70" s="433" t="s">
        <v>284</v>
      </c>
      <c r="E70" s="106"/>
      <c r="F70" s="106"/>
      <c r="G70" s="106"/>
      <c r="H70" s="106"/>
      <c r="I70" s="133"/>
      <c r="J70" s="133"/>
      <c r="K70" s="133"/>
      <c r="L70" s="106"/>
      <c r="M70" s="106"/>
      <c r="N70" s="106"/>
      <c r="O70" s="106"/>
      <c r="P70" s="106"/>
    </row>
    <row r="71" spans="2:16" x14ac:dyDescent="0.2">
      <c r="B71" s="106"/>
      <c r="C71" s="106"/>
      <c r="D71" s="377" t="s">
        <v>285</v>
      </c>
      <c r="E71" s="106"/>
      <c r="F71" s="106"/>
      <c r="G71" s="106"/>
      <c r="H71" s="106"/>
      <c r="I71" s="133"/>
      <c r="J71" s="133"/>
      <c r="K71" s="133"/>
      <c r="L71" s="106"/>
      <c r="M71" s="106"/>
      <c r="N71" s="106"/>
      <c r="O71" s="106"/>
      <c r="P71" s="106"/>
    </row>
    <row r="72" spans="2:16" x14ac:dyDescent="0.2">
      <c r="B72" s="106"/>
      <c r="C72" s="106"/>
      <c r="D72" s="377" t="s">
        <v>286</v>
      </c>
      <c r="E72" s="106"/>
      <c r="F72" s="106"/>
      <c r="G72" s="106"/>
      <c r="H72" s="106"/>
      <c r="I72" s="133"/>
      <c r="J72" s="133"/>
      <c r="K72" s="133"/>
      <c r="L72" s="106"/>
      <c r="M72" s="106"/>
      <c r="N72" s="106"/>
      <c r="O72" s="106"/>
      <c r="P72" s="106"/>
    </row>
    <row r="73" spans="2:16" x14ac:dyDescent="0.2">
      <c r="B73" s="106"/>
      <c r="C73" s="106"/>
      <c r="D73" s="433" t="s">
        <v>287</v>
      </c>
      <c r="E73" s="106"/>
      <c r="F73" s="106"/>
      <c r="G73" s="106"/>
      <c r="H73" s="106"/>
      <c r="I73" s="133"/>
      <c r="J73" s="133"/>
      <c r="K73" s="133"/>
      <c r="L73" s="106"/>
      <c r="M73" s="106"/>
      <c r="N73" s="106"/>
      <c r="O73" s="106"/>
      <c r="P73" s="106"/>
    </row>
    <row r="74" spans="2:16" x14ac:dyDescent="0.2">
      <c r="B74" s="106"/>
      <c r="C74" s="106"/>
      <c r="D74" s="106" t="s">
        <v>288</v>
      </c>
      <c r="E74" s="106"/>
      <c r="F74" s="106"/>
      <c r="G74" s="106"/>
      <c r="H74" s="106"/>
      <c r="I74" s="133"/>
      <c r="J74" s="133"/>
      <c r="K74" s="133"/>
      <c r="L74" s="106"/>
      <c r="M74" s="106"/>
      <c r="N74" s="106"/>
      <c r="O74" s="106"/>
      <c r="P74" s="106"/>
    </row>
    <row r="75" spans="2:16" x14ac:dyDescent="0.2">
      <c r="B75" s="106"/>
      <c r="C75" s="106"/>
      <c r="D75" s="378" t="s">
        <v>289</v>
      </c>
      <c r="E75" s="106"/>
      <c r="F75" s="106"/>
      <c r="G75" s="106"/>
      <c r="H75" s="106"/>
      <c r="I75" s="133"/>
      <c r="J75" s="133"/>
      <c r="K75" s="133"/>
      <c r="L75" s="106"/>
      <c r="M75" s="106"/>
      <c r="N75" s="106"/>
      <c r="O75" s="106"/>
      <c r="P75" s="106"/>
    </row>
    <row r="76" spans="2:16" x14ac:dyDescent="0.2">
      <c r="B76" s="106"/>
      <c r="C76" s="106"/>
      <c r="D76" s="433" t="s">
        <v>290</v>
      </c>
      <c r="E76" s="106"/>
      <c r="F76" s="106"/>
      <c r="G76" s="106"/>
      <c r="H76" s="106"/>
      <c r="I76" s="133"/>
      <c r="J76" s="133"/>
      <c r="K76" s="133"/>
      <c r="L76" s="106"/>
      <c r="M76" s="106"/>
      <c r="N76" s="106"/>
      <c r="O76" s="106"/>
      <c r="P76" s="106"/>
    </row>
    <row r="77" spans="2:16" x14ac:dyDescent="0.2">
      <c r="B77" s="106"/>
      <c r="C77" s="106"/>
      <c r="D77" s="377" t="s">
        <v>291</v>
      </c>
      <c r="E77" s="106"/>
      <c r="F77" s="106"/>
      <c r="G77" s="106"/>
      <c r="H77" s="106"/>
      <c r="I77" s="133"/>
      <c r="J77" s="133"/>
      <c r="K77" s="133"/>
      <c r="L77" s="106"/>
      <c r="M77" s="106"/>
      <c r="N77" s="106"/>
      <c r="O77" s="106"/>
      <c r="P77" s="106"/>
    </row>
    <row r="78" spans="2:16" x14ac:dyDescent="0.2">
      <c r="B78" s="106"/>
      <c r="C78" s="106"/>
      <c r="D78" s="106" t="s">
        <v>292</v>
      </c>
      <c r="E78" s="106"/>
      <c r="F78" s="106"/>
      <c r="G78" s="106"/>
      <c r="H78" s="106"/>
      <c r="I78" s="133"/>
      <c r="J78" s="133"/>
      <c r="K78" s="133"/>
      <c r="L78" s="106"/>
      <c r="M78" s="106"/>
      <c r="N78" s="106"/>
      <c r="O78" s="106"/>
      <c r="P78" s="106"/>
    </row>
    <row r="79" spans="2:16" x14ac:dyDescent="0.2">
      <c r="B79" s="106"/>
      <c r="C79" s="106"/>
      <c r="D79" s="377" t="s">
        <v>293</v>
      </c>
      <c r="E79" s="106"/>
      <c r="F79" s="106"/>
      <c r="G79" s="106"/>
      <c r="H79" s="106"/>
      <c r="I79" s="133"/>
      <c r="J79" s="133"/>
      <c r="K79" s="133"/>
      <c r="L79" s="106"/>
      <c r="M79" s="106"/>
      <c r="N79" s="106"/>
      <c r="O79" s="106"/>
      <c r="P79" s="106"/>
    </row>
    <row r="80" spans="2:16" x14ac:dyDescent="0.2">
      <c r="B80" s="106"/>
      <c r="C80" s="106"/>
      <c r="D80" s="106"/>
      <c r="E80" s="106"/>
      <c r="F80" s="106"/>
      <c r="G80" s="106"/>
      <c r="H80" s="106"/>
      <c r="I80" s="133"/>
      <c r="J80" s="133"/>
      <c r="K80" s="133"/>
      <c r="L80" s="106"/>
      <c r="M80" s="106"/>
      <c r="N80" s="106"/>
      <c r="O80" s="106"/>
      <c r="P80" s="106"/>
    </row>
    <row r="81" spans="2:16" x14ac:dyDescent="0.2">
      <c r="B81" s="106"/>
      <c r="C81" s="106"/>
      <c r="D81" s="416" t="s">
        <v>294</v>
      </c>
      <c r="E81" s="106"/>
      <c r="F81" s="106"/>
      <c r="G81" s="106"/>
      <c r="H81" s="106"/>
      <c r="I81" s="133"/>
      <c r="J81" s="133"/>
      <c r="K81" s="133"/>
      <c r="L81" s="106"/>
      <c r="M81" s="106"/>
      <c r="N81" s="106"/>
      <c r="O81" s="106"/>
      <c r="P81" s="106"/>
    </row>
    <row r="82" spans="2:16" x14ac:dyDescent="0.2">
      <c r="B82" s="106"/>
      <c r="C82" s="106"/>
      <c r="D82" s="106" t="s">
        <v>205</v>
      </c>
      <c r="E82" s="106"/>
      <c r="F82" s="106"/>
      <c r="G82" s="106"/>
      <c r="H82" s="106"/>
      <c r="I82" s="133"/>
      <c r="J82" s="133"/>
      <c r="K82" s="133"/>
      <c r="L82" s="106"/>
      <c r="M82" s="106"/>
      <c r="N82" s="106"/>
      <c r="O82" s="106"/>
      <c r="P82" s="106"/>
    </row>
    <row r="83" spans="2:16" x14ac:dyDescent="0.2">
      <c r="B83" s="106"/>
      <c r="C83" s="106"/>
      <c r="D83" s="106" t="s">
        <v>206</v>
      </c>
      <c r="E83" s="106"/>
      <c r="F83" s="106"/>
      <c r="G83" s="106"/>
      <c r="H83" s="106"/>
      <c r="I83" s="133"/>
      <c r="J83" s="133"/>
      <c r="K83" s="133"/>
      <c r="L83" s="106"/>
      <c r="M83" s="106"/>
      <c r="N83" s="106"/>
      <c r="O83" s="106"/>
      <c r="P83" s="106"/>
    </row>
    <row r="84" spans="2:16" x14ac:dyDescent="0.2">
      <c r="B84" s="106"/>
      <c r="C84" s="106"/>
      <c r="D84" s="106" t="s">
        <v>207</v>
      </c>
      <c r="E84" s="106"/>
      <c r="F84" s="106"/>
      <c r="G84" s="106"/>
      <c r="H84" s="106"/>
      <c r="I84" s="133"/>
      <c r="J84" s="133"/>
      <c r="K84" s="133"/>
      <c r="L84" s="106"/>
      <c r="M84" s="106"/>
      <c r="N84" s="106"/>
      <c r="O84" s="106"/>
      <c r="P84" s="106"/>
    </row>
    <row r="85" spans="2:16" x14ac:dyDescent="0.2">
      <c r="B85" s="106"/>
      <c r="C85" s="106"/>
      <c r="D85" s="106" t="s">
        <v>192</v>
      </c>
      <c r="E85" s="106"/>
      <c r="F85" s="106"/>
      <c r="G85" s="106"/>
      <c r="H85" s="106"/>
      <c r="I85" s="133"/>
      <c r="J85" s="133"/>
      <c r="K85" s="133"/>
      <c r="L85" s="106"/>
      <c r="M85" s="134"/>
      <c r="N85" s="134"/>
      <c r="O85" s="106"/>
      <c r="P85" s="106"/>
    </row>
    <row r="86" spans="2:16" x14ac:dyDescent="0.2">
      <c r="B86" s="106"/>
      <c r="C86" s="106"/>
      <c r="D86" s="106"/>
      <c r="E86" s="106"/>
      <c r="F86" s="106"/>
      <c r="G86" s="106"/>
      <c r="H86" s="106"/>
      <c r="I86" s="133"/>
      <c r="J86" s="133"/>
      <c r="K86" s="133"/>
      <c r="L86" s="106"/>
      <c r="M86" s="134"/>
      <c r="N86" s="134"/>
      <c r="O86" s="106"/>
      <c r="P86" s="106"/>
    </row>
    <row r="87" spans="2:16" x14ac:dyDescent="0.2">
      <c r="B87" s="106"/>
      <c r="C87" s="106"/>
      <c r="D87" s="106" t="s">
        <v>268</v>
      </c>
      <c r="E87" s="106"/>
      <c r="F87" s="106"/>
      <c r="G87" s="106"/>
      <c r="H87" s="106"/>
      <c r="I87" s="133"/>
      <c r="J87" s="133"/>
      <c r="K87" s="133"/>
      <c r="L87" s="106"/>
      <c r="M87" s="106"/>
      <c r="N87" s="106"/>
      <c r="O87" s="106"/>
      <c r="P87" s="106"/>
    </row>
    <row r="88" spans="2:16" x14ac:dyDescent="0.2">
      <c r="B88" s="106"/>
      <c r="C88" s="106"/>
      <c r="D88" s="106" t="s">
        <v>269</v>
      </c>
      <c r="E88" s="106"/>
      <c r="F88" s="106"/>
      <c r="G88" s="106"/>
      <c r="H88" s="106"/>
      <c r="I88" s="133"/>
      <c r="J88" s="133"/>
      <c r="K88" s="133"/>
      <c r="L88" s="106"/>
      <c r="M88" s="106"/>
      <c r="N88" s="106"/>
      <c r="O88" s="106"/>
      <c r="P88" s="106"/>
    </row>
    <row r="89" spans="2:16" x14ac:dyDescent="0.2">
      <c r="B89" s="106"/>
      <c r="C89" s="106"/>
      <c r="D89" s="106" t="s">
        <v>217</v>
      </c>
      <c r="E89" s="106"/>
      <c r="F89" s="106"/>
      <c r="G89" s="106"/>
      <c r="H89" s="106"/>
      <c r="I89" s="133"/>
      <c r="J89" s="133"/>
      <c r="K89" s="133"/>
      <c r="L89" s="106"/>
      <c r="M89" s="106"/>
      <c r="N89" s="106"/>
      <c r="O89" s="106"/>
      <c r="P89" s="106"/>
    </row>
    <row r="90" spans="2:16" x14ac:dyDescent="0.2">
      <c r="B90" s="106"/>
      <c r="C90" s="106"/>
      <c r="D90" s="106" t="s">
        <v>99</v>
      </c>
      <c r="E90" s="106"/>
      <c r="F90" s="106"/>
      <c r="G90" s="106"/>
      <c r="H90" s="106"/>
      <c r="I90" s="133"/>
      <c r="J90" s="133"/>
      <c r="K90" s="133"/>
      <c r="L90" s="106"/>
      <c r="M90" s="106"/>
      <c r="N90" s="106"/>
      <c r="O90" s="106"/>
      <c r="P90" s="106"/>
    </row>
    <row r="91" spans="2:16" x14ac:dyDescent="0.2">
      <c r="B91" s="106"/>
      <c r="C91" s="106"/>
      <c r="D91" s="106"/>
      <c r="E91" s="106"/>
      <c r="F91" s="106"/>
      <c r="G91" s="106"/>
      <c r="H91" s="106"/>
      <c r="I91" s="133"/>
      <c r="J91" s="133"/>
      <c r="K91" s="133"/>
      <c r="L91" s="106"/>
      <c r="M91" s="106"/>
      <c r="N91" s="106"/>
      <c r="O91" s="106"/>
      <c r="P91" s="106"/>
    </row>
    <row r="92" spans="2:16" x14ac:dyDescent="0.2">
      <c r="B92" s="106"/>
      <c r="C92" s="106"/>
      <c r="D92" s="444" t="s">
        <v>299</v>
      </c>
      <c r="E92" s="106"/>
      <c r="F92" s="106"/>
      <c r="G92" s="106"/>
      <c r="H92" s="106"/>
      <c r="I92" s="133"/>
      <c r="J92" s="133"/>
      <c r="K92" s="133"/>
      <c r="L92" s="106"/>
      <c r="M92" s="106"/>
      <c r="N92" s="106"/>
      <c r="O92" s="106"/>
      <c r="P92" s="106"/>
    </row>
    <row r="93" spans="2:16" x14ac:dyDescent="0.2">
      <c r="B93" s="106"/>
      <c r="C93" s="106"/>
      <c r="D93" s="444" t="s">
        <v>298</v>
      </c>
      <c r="E93" s="106"/>
      <c r="F93" s="106"/>
      <c r="G93" s="106"/>
      <c r="H93" s="106"/>
      <c r="I93" s="133"/>
      <c r="J93" s="133"/>
      <c r="K93" s="133"/>
      <c r="L93" s="106"/>
      <c r="M93" s="106"/>
      <c r="N93" s="106"/>
      <c r="O93" s="106"/>
      <c r="P93" s="106"/>
    </row>
    <row r="94" spans="2:16" x14ac:dyDescent="0.2">
      <c r="B94" s="106"/>
      <c r="C94" s="106"/>
      <c r="D94" s="444" t="s">
        <v>370</v>
      </c>
      <c r="E94" s="106"/>
      <c r="F94" s="106"/>
      <c r="G94" s="106"/>
      <c r="H94" s="106"/>
      <c r="I94" s="133"/>
      <c r="J94" s="133"/>
      <c r="K94" s="133"/>
      <c r="L94" s="106"/>
      <c r="M94" s="106"/>
      <c r="N94" s="106"/>
      <c r="O94" s="106"/>
      <c r="P94" s="106"/>
    </row>
    <row r="95" spans="2:16" x14ac:dyDescent="0.2">
      <c r="B95" s="106"/>
      <c r="C95" s="106"/>
      <c r="D95" s="106"/>
      <c r="E95" s="106"/>
      <c r="F95" s="106"/>
      <c r="G95" s="106"/>
      <c r="H95" s="106"/>
      <c r="I95" s="133"/>
      <c r="J95" s="133"/>
      <c r="K95" s="133"/>
      <c r="L95" s="106"/>
      <c r="M95" s="106"/>
      <c r="N95" s="106"/>
      <c r="O95" s="106"/>
      <c r="P95" s="106"/>
    </row>
    <row r="96" spans="2:16" x14ac:dyDescent="0.2">
      <c r="B96" s="106"/>
      <c r="C96" s="106"/>
      <c r="D96" s="106" t="s">
        <v>59</v>
      </c>
      <c r="E96" s="106"/>
      <c r="F96" s="106"/>
      <c r="G96" s="106"/>
      <c r="H96" s="106"/>
      <c r="I96" s="133"/>
      <c r="J96" s="133"/>
      <c r="K96" s="133"/>
      <c r="L96" s="106"/>
      <c r="M96" s="106"/>
      <c r="N96" s="106"/>
      <c r="O96" s="106"/>
      <c r="P96" s="106"/>
    </row>
    <row r="97" spans="2:16" x14ac:dyDescent="0.2">
      <c r="B97" s="106"/>
      <c r="C97" s="106"/>
      <c r="D97" s="106" t="s">
        <v>270</v>
      </c>
      <c r="E97" s="106"/>
      <c r="F97" s="106"/>
      <c r="G97" s="106"/>
      <c r="H97" s="106"/>
      <c r="I97" s="133"/>
      <c r="J97" s="133"/>
      <c r="K97" s="133"/>
      <c r="L97" s="106"/>
      <c r="M97" s="106"/>
      <c r="N97" s="106"/>
      <c r="O97" s="106"/>
      <c r="P97" s="106"/>
    </row>
    <row r="98" spans="2:16" x14ac:dyDescent="0.2">
      <c r="B98" s="106"/>
      <c r="C98" s="106"/>
      <c r="D98" s="106" t="s">
        <v>245</v>
      </c>
      <c r="E98" s="106"/>
      <c r="F98" s="106"/>
      <c r="G98" s="106"/>
      <c r="H98" s="106"/>
      <c r="I98" s="133"/>
      <c r="J98" s="133"/>
      <c r="K98" s="133"/>
      <c r="L98" s="106"/>
      <c r="M98" s="106"/>
      <c r="N98" s="106"/>
      <c r="O98" s="106"/>
      <c r="P98" s="106"/>
    </row>
    <row r="99" spans="2:16" x14ac:dyDescent="0.2">
      <c r="B99" s="106"/>
      <c r="C99" s="106"/>
      <c r="D99" s="106" t="s">
        <v>60</v>
      </c>
      <c r="E99" s="106"/>
      <c r="F99" s="106"/>
      <c r="G99" s="106"/>
      <c r="H99" s="106"/>
      <c r="I99" s="133"/>
      <c r="J99" s="133"/>
      <c r="K99" s="133"/>
      <c r="L99" s="106"/>
      <c r="M99" s="106"/>
      <c r="N99" s="106"/>
      <c r="O99" s="106"/>
      <c r="P99" s="106"/>
    </row>
    <row r="100" spans="2:16" x14ac:dyDescent="0.2">
      <c r="B100" s="106"/>
      <c r="C100" s="106"/>
      <c r="D100" s="106"/>
      <c r="E100" s="106"/>
      <c r="F100" s="106"/>
      <c r="G100" s="106"/>
      <c r="H100" s="106"/>
      <c r="I100" s="133"/>
      <c r="J100" s="133"/>
      <c r="K100" s="133"/>
      <c r="L100" s="106"/>
      <c r="M100" s="106"/>
      <c r="N100" s="106"/>
      <c r="O100" s="106"/>
      <c r="P100" s="106"/>
    </row>
    <row r="101" spans="2:16" x14ac:dyDescent="0.2">
      <c r="B101" s="106"/>
      <c r="C101" s="106"/>
      <c r="D101" s="132" t="s">
        <v>61</v>
      </c>
      <c r="E101" s="106"/>
      <c r="F101" s="106"/>
      <c r="G101" s="106"/>
      <c r="H101" s="106"/>
      <c r="I101" s="133"/>
      <c r="J101" s="133"/>
      <c r="K101" s="133"/>
      <c r="L101" s="106"/>
      <c r="M101" s="106"/>
      <c r="N101" s="106"/>
      <c r="O101" s="106"/>
      <c r="P101" s="106"/>
    </row>
    <row r="102" spans="2:16" x14ac:dyDescent="0.2">
      <c r="B102" s="106"/>
      <c r="C102" s="106"/>
      <c r="D102" s="106" t="s">
        <v>198</v>
      </c>
      <c r="E102" s="106"/>
      <c r="F102" s="106"/>
      <c r="G102" s="106"/>
      <c r="H102" s="106"/>
      <c r="I102" s="133"/>
      <c r="J102" s="133"/>
      <c r="K102" s="133"/>
      <c r="L102" s="106"/>
      <c r="M102" s="106"/>
      <c r="N102" s="106"/>
      <c r="O102" s="106"/>
      <c r="P102" s="106"/>
    </row>
    <row r="103" spans="2:16" x14ac:dyDescent="0.2">
      <c r="B103" s="106"/>
      <c r="C103" s="106"/>
      <c r="D103" s="106"/>
      <c r="E103" s="106"/>
      <c r="F103" s="106"/>
      <c r="G103" s="106"/>
      <c r="H103" s="106"/>
      <c r="I103" s="133"/>
      <c r="J103" s="133"/>
      <c r="K103" s="133"/>
      <c r="L103" s="106"/>
      <c r="M103" s="106"/>
      <c r="N103" s="106"/>
      <c r="O103" s="106"/>
      <c r="P103" s="106"/>
    </row>
    <row r="104" spans="2:16" x14ac:dyDescent="0.2">
      <c r="B104" s="106"/>
      <c r="C104" s="106"/>
      <c r="D104" s="132" t="s">
        <v>100</v>
      </c>
      <c r="E104" s="106"/>
      <c r="F104" s="106"/>
      <c r="G104" s="106"/>
      <c r="H104" s="106"/>
      <c r="I104" s="133"/>
      <c r="J104" s="133"/>
      <c r="K104" s="133"/>
      <c r="L104" s="106"/>
      <c r="M104" s="106"/>
      <c r="N104" s="106"/>
      <c r="O104" s="106"/>
      <c r="P104" s="106"/>
    </row>
    <row r="105" spans="2:16" x14ac:dyDescent="0.2">
      <c r="B105" s="106"/>
      <c r="C105" s="106"/>
      <c r="D105" s="106" t="s">
        <v>101</v>
      </c>
      <c r="E105" s="106"/>
      <c r="F105" s="106"/>
      <c r="G105" s="106"/>
      <c r="H105" s="106"/>
      <c r="I105" s="133"/>
      <c r="J105" s="133"/>
      <c r="K105" s="133"/>
      <c r="L105" s="106"/>
      <c r="M105" s="106"/>
      <c r="N105" s="106"/>
      <c r="O105" s="106"/>
      <c r="P105" s="106"/>
    </row>
    <row r="106" spans="2:16" x14ac:dyDescent="0.2">
      <c r="B106" s="106"/>
      <c r="C106" s="106"/>
      <c r="D106" s="106"/>
      <c r="E106" s="106"/>
      <c r="F106" s="106"/>
      <c r="G106" s="106"/>
      <c r="H106" s="106"/>
      <c r="I106" s="133"/>
      <c r="J106" s="133"/>
      <c r="K106" s="133"/>
      <c r="L106" s="106"/>
      <c r="M106" s="106"/>
      <c r="N106" s="106"/>
      <c r="O106" s="106"/>
      <c r="P106" s="106"/>
    </row>
    <row r="107" spans="2:16" x14ac:dyDescent="0.2">
      <c r="B107" s="106"/>
      <c r="C107" s="106"/>
      <c r="D107" s="132" t="s">
        <v>66</v>
      </c>
      <c r="E107" s="106"/>
      <c r="F107" s="106"/>
      <c r="G107" s="106"/>
      <c r="H107" s="106"/>
      <c r="I107" s="133"/>
      <c r="J107" s="133"/>
      <c r="K107" s="133"/>
      <c r="L107" s="106"/>
      <c r="M107" s="106"/>
      <c r="N107" s="106"/>
      <c r="O107" s="106"/>
      <c r="P107" s="106"/>
    </row>
    <row r="108" spans="2:16" x14ac:dyDescent="0.2">
      <c r="B108" s="106"/>
      <c r="C108" s="106"/>
      <c r="D108" s="106" t="s">
        <v>219</v>
      </c>
      <c r="E108" s="106"/>
      <c r="F108" s="106"/>
      <c r="G108" s="106"/>
      <c r="H108" s="106"/>
      <c r="I108" s="133"/>
      <c r="J108" s="133"/>
      <c r="K108" s="133"/>
      <c r="L108" s="106"/>
      <c r="M108" s="106"/>
      <c r="N108" s="106"/>
      <c r="O108" s="106"/>
      <c r="P108" s="106"/>
    </row>
    <row r="109" spans="2:16" x14ac:dyDescent="0.2">
      <c r="B109" s="106"/>
      <c r="C109" s="106"/>
      <c r="D109" s="377" t="s">
        <v>371</v>
      </c>
      <c r="E109" s="106"/>
      <c r="F109" s="106"/>
      <c r="G109" s="106"/>
      <c r="H109" s="106"/>
      <c r="I109" s="133"/>
      <c r="J109" s="133"/>
      <c r="K109" s="133"/>
      <c r="L109" s="106"/>
      <c r="M109" s="106"/>
      <c r="N109" s="106"/>
      <c r="O109" s="106"/>
      <c r="P109" s="106"/>
    </row>
    <row r="110" spans="2:16" x14ac:dyDescent="0.2">
      <c r="B110" s="106"/>
      <c r="C110" s="106"/>
      <c r="D110" s="106"/>
      <c r="E110" s="106"/>
      <c r="F110" s="106"/>
      <c r="G110" s="106"/>
      <c r="H110" s="106"/>
      <c r="I110" s="133"/>
      <c r="J110" s="133"/>
      <c r="K110" s="133"/>
      <c r="L110" s="106"/>
      <c r="M110" s="106"/>
      <c r="N110" s="106"/>
      <c r="O110" s="106"/>
      <c r="P110" s="106"/>
    </row>
    <row r="111" spans="2:16" x14ac:dyDescent="0.2">
      <c r="B111" s="110"/>
      <c r="C111" s="110">
        <v>2</v>
      </c>
      <c r="D111" s="109" t="s">
        <v>163</v>
      </c>
      <c r="E111" s="106"/>
      <c r="F111" s="106"/>
      <c r="G111" s="106"/>
      <c r="H111" s="106"/>
      <c r="I111" s="133"/>
      <c r="J111" s="133"/>
      <c r="K111" s="133"/>
      <c r="L111" s="106"/>
      <c r="M111" s="106"/>
      <c r="N111" s="106"/>
      <c r="O111" s="106"/>
      <c r="P111" s="106"/>
    </row>
    <row r="112" spans="2:16" x14ac:dyDescent="0.2">
      <c r="B112" s="110"/>
      <c r="C112" s="110"/>
      <c r="D112" s="132" t="s">
        <v>65</v>
      </c>
      <c r="E112" s="106"/>
      <c r="F112" s="106"/>
      <c r="G112" s="106"/>
      <c r="H112" s="106"/>
      <c r="I112" s="133"/>
      <c r="J112" s="133"/>
      <c r="K112" s="133"/>
      <c r="L112" s="106"/>
      <c r="M112" s="106"/>
      <c r="N112" s="106"/>
      <c r="O112" s="106"/>
      <c r="P112" s="106"/>
    </row>
    <row r="113" spans="1:16" x14ac:dyDescent="0.2">
      <c r="B113" s="110"/>
      <c r="C113" s="110"/>
      <c r="D113" s="106" t="s">
        <v>164</v>
      </c>
      <c r="E113" s="106"/>
      <c r="F113" s="106"/>
      <c r="G113" s="106"/>
      <c r="H113" s="106"/>
      <c r="I113" s="133"/>
      <c r="J113" s="133"/>
      <c r="K113" s="133"/>
      <c r="L113" s="106"/>
      <c r="M113" s="106"/>
      <c r="N113" s="106"/>
      <c r="O113" s="106"/>
      <c r="P113" s="106"/>
    </row>
    <row r="114" spans="1:16" x14ac:dyDescent="0.2">
      <c r="B114" s="110"/>
      <c r="C114" s="110"/>
      <c r="D114" s="106" t="s">
        <v>220</v>
      </c>
      <c r="E114" s="106"/>
      <c r="F114" s="106"/>
      <c r="G114" s="106"/>
      <c r="H114" s="106"/>
      <c r="I114" s="133"/>
      <c r="J114" s="133"/>
      <c r="K114" s="133"/>
      <c r="L114" s="106"/>
      <c r="M114" s="106"/>
      <c r="N114" s="106"/>
      <c r="O114" s="106"/>
      <c r="P114" s="106"/>
    </row>
    <row r="115" spans="1:16" x14ac:dyDescent="0.2">
      <c r="A115" s="103"/>
      <c r="B115" s="110"/>
      <c r="C115" s="110"/>
      <c r="D115" s="106"/>
      <c r="E115" s="106"/>
      <c r="F115" s="106"/>
      <c r="G115" s="106"/>
      <c r="H115" s="106"/>
      <c r="I115" s="133"/>
      <c r="J115" s="133"/>
      <c r="K115" s="133"/>
      <c r="L115" s="106"/>
      <c r="M115" s="106"/>
      <c r="N115" s="106"/>
      <c r="O115" s="106"/>
      <c r="P115" s="106"/>
    </row>
    <row r="116" spans="1:16" x14ac:dyDescent="0.2">
      <c r="A116" s="103"/>
      <c r="B116" s="110"/>
      <c r="C116" s="110"/>
      <c r="D116" s="377" t="s">
        <v>311</v>
      </c>
      <c r="E116" s="106"/>
      <c r="F116" s="135"/>
      <c r="G116" s="136"/>
      <c r="H116" s="106"/>
      <c r="I116" s="133"/>
      <c r="J116" s="133"/>
      <c r="K116" s="133"/>
      <c r="L116" s="106"/>
      <c r="M116" s="106"/>
      <c r="N116" s="106"/>
      <c r="O116" s="106"/>
      <c r="P116" s="106"/>
    </row>
    <row r="117" spans="1:16" x14ac:dyDescent="0.2">
      <c r="A117" s="103"/>
      <c r="B117" s="110"/>
      <c r="C117" s="110"/>
      <c r="D117" s="423" t="s">
        <v>272</v>
      </c>
      <c r="E117" s="106"/>
      <c r="F117" s="135"/>
      <c r="G117" s="136"/>
      <c r="H117" s="422">
        <f>+tabellen!B128</f>
        <v>0.6</v>
      </c>
      <c r="I117" s="133"/>
      <c r="J117" s="133"/>
      <c r="K117" s="133"/>
      <c r="L117" s="106"/>
      <c r="M117" s="106"/>
      <c r="N117" s="106"/>
      <c r="O117" s="106"/>
      <c r="P117" s="106"/>
    </row>
    <row r="118" spans="1:16" x14ac:dyDescent="0.2">
      <c r="A118" s="103"/>
      <c r="B118" s="110"/>
      <c r="C118" s="110"/>
      <c r="D118" s="106" t="s">
        <v>258</v>
      </c>
      <c r="E118" s="106"/>
      <c r="F118" s="135"/>
      <c r="G118" s="136"/>
      <c r="H118" s="106"/>
      <c r="I118" s="133"/>
      <c r="J118" s="133"/>
      <c r="K118" s="133"/>
      <c r="L118" s="106"/>
      <c r="M118" s="106"/>
      <c r="N118" s="106"/>
      <c r="O118" s="106"/>
      <c r="P118" s="106"/>
    </row>
    <row r="119" spans="1:16" x14ac:dyDescent="0.2">
      <c r="A119" s="103"/>
      <c r="B119" s="110"/>
      <c r="C119" s="110"/>
      <c r="D119" s="106"/>
      <c r="E119" s="106"/>
      <c r="F119" s="137"/>
      <c r="G119" s="133"/>
      <c r="H119" s="106"/>
      <c r="I119" s="133"/>
      <c r="J119" s="133"/>
      <c r="K119" s="133"/>
      <c r="L119" s="106"/>
      <c r="M119" s="106"/>
      <c r="N119" s="106"/>
      <c r="O119" s="106"/>
      <c r="P119" s="106"/>
    </row>
    <row r="120" spans="1:16" x14ac:dyDescent="0.2">
      <c r="A120" s="103"/>
      <c r="B120" s="110"/>
      <c r="C120" s="110"/>
      <c r="D120" s="132" t="s">
        <v>165</v>
      </c>
      <c r="E120" s="106"/>
      <c r="F120" s="135"/>
      <c r="G120" s="133"/>
      <c r="H120" s="106"/>
      <c r="I120" s="133"/>
      <c r="J120" s="133"/>
      <c r="K120" s="133"/>
      <c r="L120" s="106"/>
      <c r="M120" s="106"/>
      <c r="N120" s="106"/>
      <c r="O120" s="106"/>
      <c r="P120" s="106"/>
    </row>
    <row r="121" spans="1:16" x14ac:dyDescent="0.2">
      <c r="A121" s="103"/>
      <c r="B121" s="110"/>
      <c r="C121" s="110"/>
      <c r="D121" s="106" t="s">
        <v>209</v>
      </c>
      <c r="E121" s="106"/>
      <c r="F121" s="138"/>
      <c r="G121" s="106"/>
      <c r="H121" s="106"/>
      <c r="I121" s="133"/>
      <c r="J121" s="133"/>
      <c r="K121" s="133"/>
      <c r="L121" s="106"/>
      <c r="M121" s="106"/>
      <c r="N121" s="106"/>
      <c r="O121" s="106"/>
      <c r="P121" s="106"/>
    </row>
    <row r="122" spans="1:16" x14ac:dyDescent="0.2">
      <c r="A122" s="103"/>
      <c r="B122" s="110"/>
      <c r="C122" s="110"/>
      <c r="D122" s="106" t="s">
        <v>210</v>
      </c>
      <c r="E122" s="106"/>
      <c r="F122" s="106"/>
      <c r="G122" s="106"/>
      <c r="H122" s="106"/>
      <c r="I122" s="133"/>
      <c r="J122" s="133"/>
      <c r="K122" s="133"/>
      <c r="L122" s="106"/>
      <c r="M122" s="106"/>
      <c r="N122" s="106"/>
      <c r="O122" s="106"/>
      <c r="P122" s="106"/>
    </row>
    <row r="123" spans="1:16" x14ac:dyDescent="0.2">
      <c r="A123" s="103"/>
      <c r="B123" s="110"/>
      <c r="C123" s="110"/>
      <c r="D123" s="106" t="s">
        <v>166</v>
      </c>
      <c r="E123" s="106"/>
      <c r="F123" s="106"/>
      <c r="G123" s="106"/>
      <c r="H123" s="106"/>
      <c r="I123" s="133"/>
      <c r="J123" s="133"/>
      <c r="K123" s="133"/>
      <c r="L123" s="106"/>
      <c r="M123" s="106"/>
      <c r="N123" s="106"/>
      <c r="O123" s="106"/>
      <c r="P123" s="106"/>
    </row>
    <row r="124" spans="1:16" x14ac:dyDescent="0.2">
      <c r="A124" s="103"/>
      <c r="B124" s="110"/>
      <c r="C124" s="110"/>
      <c r="D124" s="106" t="s">
        <v>167</v>
      </c>
      <c r="E124" s="106"/>
      <c r="F124" s="106"/>
      <c r="G124" s="106"/>
      <c r="H124" s="106"/>
      <c r="I124" s="106"/>
      <c r="J124" s="106"/>
      <c r="K124" s="106"/>
      <c r="L124" s="106"/>
      <c r="M124" s="106"/>
      <c r="N124" s="106"/>
      <c r="O124" s="106"/>
      <c r="P124" s="106"/>
    </row>
    <row r="125" spans="1:16" x14ac:dyDescent="0.2">
      <c r="A125" s="103"/>
      <c r="B125" s="110"/>
      <c r="C125" s="110"/>
      <c r="D125" s="106"/>
      <c r="E125" s="106"/>
      <c r="F125" s="106"/>
      <c r="G125" s="106"/>
      <c r="H125" s="106"/>
      <c r="I125" s="106"/>
      <c r="J125" s="106"/>
      <c r="K125" s="106"/>
      <c r="L125" s="106"/>
      <c r="M125" s="106"/>
      <c r="N125" s="106"/>
      <c r="O125" s="106"/>
      <c r="P125" s="106"/>
    </row>
    <row r="126" spans="1:16" x14ac:dyDescent="0.2">
      <c r="A126" s="103"/>
      <c r="B126" s="110"/>
      <c r="C126" s="110">
        <v>3</v>
      </c>
      <c r="D126" s="109" t="s">
        <v>168</v>
      </c>
      <c r="E126" s="106"/>
      <c r="F126" s="106"/>
      <c r="G126" s="106"/>
      <c r="H126" s="106"/>
      <c r="I126" s="106"/>
      <c r="J126" s="106"/>
      <c r="K126" s="106"/>
      <c r="L126" s="106"/>
      <c r="M126" s="106"/>
      <c r="N126" s="106"/>
      <c r="O126" s="106"/>
      <c r="P126" s="106"/>
    </row>
    <row r="127" spans="1:16" x14ac:dyDescent="0.2">
      <c r="A127" s="103"/>
      <c r="B127" s="110"/>
      <c r="C127" s="110"/>
      <c r="D127" s="106" t="s">
        <v>169</v>
      </c>
      <c r="E127" s="106"/>
      <c r="F127" s="106"/>
      <c r="G127" s="106"/>
      <c r="H127" s="106"/>
      <c r="I127" s="106"/>
      <c r="J127" s="106"/>
      <c r="K127" s="106"/>
      <c r="L127" s="106"/>
      <c r="M127" s="106"/>
      <c r="N127" s="106"/>
      <c r="O127" s="106"/>
      <c r="P127" s="106"/>
    </row>
    <row r="128" spans="1:16" x14ac:dyDescent="0.2">
      <c r="A128" s="103"/>
      <c r="B128" s="110"/>
      <c r="C128" s="110"/>
      <c r="D128" s="106" t="s">
        <v>170</v>
      </c>
      <c r="E128" s="106"/>
      <c r="F128" s="106"/>
      <c r="G128" s="106"/>
      <c r="H128" s="106"/>
      <c r="I128" s="106"/>
      <c r="J128" s="106"/>
      <c r="K128" s="106"/>
      <c r="L128" s="106"/>
      <c r="M128" s="106"/>
      <c r="N128" s="106"/>
      <c r="O128" s="106"/>
      <c r="P128" s="106"/>
    </row>
    <row r="129" spans="1:16" x14ac:dyDescent="0.2">
      <c r="A129" s="103"/>
      <c r="B129" s="110"/>
      <c r="C129" s="110"/>
      <c r="D129" s="106" t="s">
        <v>171</v>
      </c>
      <c r="E129" s="106"/>
      <c r="F129" s="106"/>
      <c r="G129" s="106"/>
      <c r="H129" s="106"/>
      <c r="I129" s="106"/>
      <c r="J129" s="106"/>
      <c r="K129" s="106"/>
      <c r="L129" s="106"/>
      <c r="M129" s="106"/>
      <c r="N129" s="106"/>
      <c r="O129" s="106"/>
      <c r="P129" s="106"/>
    </row>
    <row r="130" spans="1:16" x14ac:dyDescent="0.2">
      <c r="A130" s="103"/>
      <c r="B130" s="110"/>
      <c r="C130" s="110"/>
      <c r="D130" s="106" t="s">
        <v>172</v>
      </c>
      <c r="E130" s="106"/>
      <c r="F130" s="106"/>
      <c r="G130" s="106"/>
      <c r="H130" s="106"/>
      <c r="I130" s="106"/>
      <c r="J130" s="106"/>
      <c r="K130" s="106"/>
      <c r="L130" s="106"/>
      <c r="M130" s="106"/>
      <c r="N130" s="106"/>
      <c r="O130" s="106"/>
      <c r="P130" s="106"/>
    </row>
    <row r="131" spans="1:16" x14ac:dyDescent="0.2">
      <c r="A131" s="103"/>
      <c r="B131" s="110"/>
      <c r="C131" s="110"/>
      <c r="D131" s="106"/>
      <c r="E131" s="106"/>
      <c r="F131" s="106"/>
      <c r="G131" s="106"/>
      <c r="H131" s="106"/>
      <c r="I131" s="106"/>
      <c r="J131" s="106"/>
      <c r="K131" s="106"/>
      <c r="L131" s="106"/>
      <c r="M131" s="106"/>
      <c r="N131" s="106"/>
      <c r="O131" s="106"/>
      <c r="P131" s="106"/>
    </row>
    <row r="132" spans="1:16" x14ac:dyDescent="0.2">
      <c r="A132" s="103"/>
      <c r="B132" s="110"/>
      <c r="C132" s="110"/>
      <c r="D132" s="106" t="s">
        <v>173</v>
      </c>
      <c r="E132" s="106"/>
      <c r="F132" s="106"/>
      <c r="G132" s="106"/>
      <c r="H132" s="106"/>
      <c r="I132" s="106"/>
      <c r="J132" s="106"/>
      <c r="K132" s="106"/>
      <c r="L132" s="106"/>
      <c r="M132" s="106"/>
      <c r="N132" s="106"/>
      <c r="O132" s="106"/>
      <c r="P132" s="106"/>
    </row>
    <row r="133" spans="1:16" x14ac:dyDescent="0.2">
      <c r="A133" s="103"/>
      <c r="B133" s="110"/>
      <c r="C133" s="110"/>
      <c r="D133" s="106" t="s">
        <v>174</v>
      </c>
      <c r="E133" s="106"/>
      <c r="F133" s="106"/>
      <c r="G133" s="106"/>
      <c r="H133" s="106"/>
      <c r="I133" s="106"/>
      <c r="J133" s="106"/>
      <c r="K133" s="106"/>
      <c r="L133" s="106"/>
      <c r="M133" s="106"/>
      <c r="N133" s="106"/>
      <c r="O133" s="106"/>
      <c r="P133" s="106"/>
    </row>
    <row r="134" spans="1:16" x14ac:dyDescent="0.2">
      <c r="A134" s="103"/>
      <c r="B134" s="110"/>
      <c r="C134" s="110"/>
      <c r="D134" s="106" t="s">
        <v>256</v>
      </c>
      <c r="E134" s="106"/>
      <c r="F134" s="106"/>
      <c r="G134" s="106"/>
      <c r="H134" s="106"/>
      <c r="I134" s="106"/>
      <c r="J134" s="106"/>
      <c r="K134" s="106"/>
      <c r="L134" s="106"/>
      <c r="M134" s="106"/>
      <c r="N134" s="106"/>
      <c r="O134" s="106"/>
      <c r="P134" s="106"/>
    </row>
    <row r="135" spans="1:16" x14ac:dyDescent="0.2">
      <c r="A135" s="103"/>
      <c r="B135" s="110"/>
      <c r="C135" s="110"/>
      <c r="D135" s="106" t="s">
        <v>257</v>
      </c>
      <c r="E135" s="106"/>
      <c r="F135" s="106"/>
      <c r="G135" s="106"/>
      <c r="H135" s="106"/>
      <c r="I135" s="106"/>
      <c r="J135" s="106"/>
      <c r="K135" s="106"/>
      <c r="L135" s="106"/>
      <c r="M135" s="106"/>
      <c r="N135" s="106"/>
      <c r="O135" s="106"/>
      <c r="P135" s="106"/>
    </row>
    <row r="136" spans="1:16" x14ac:dyDescent="0.2">
      <c r="A136" s="103"/>
      <c r="B136" s="110"/>
      <c r="C136" s="110"/>
      <c r="D136" s="106"/>
      <c r="E136" s="106"/>
      <c r="F136" s="106"/>
      <c r="G136" s="106"/>
      <c r="H136" s="106"/>
      <c r="I136" s="106"/>
      <c r="J136" s="106"/>
      <c r="K136" s="106"/>
      <c r="L136" s="106"/>
      <c r="M136" s="106"/>
      <c r="N136" s="106"/>
      <c r="O136" s="106"/>
      <c r="P136" s="106"/>
    </row>
    <row r="137" spans="1:16" x14ac:dyDescent="0.2">
      <c r="A137" s="103"/>
      <c r="B137" s="110"/>
      <c r="C137" s="110"/>
      <c r="D137" s="106" t="s">
        <v>175</v>
      </c>
      <c r="E137" s="106"/>
      <c r="F137" s="106"/>
      <c r="G137" s="106"/>
      <c r="H137" s="106"/>
      <c r="I137" s="106"/>
      <c r="J137" s="106"/>
      <c r="K137" s="106"/>
      <c r="L137" s="106"/>
      <c r="M137" s="106"/>
      <c r="N137" s="106"/>
      <c r="O137" s="106"/>
      <c r="P137" s="106"/>
    </row>
    <row r="138" spans="1:16" x14ac:dyDescent="0.2">
      <c r="A138" s="103"/>
      <c r="B138" s="110"/>
      <c r="C138" s="110"/>
      <c r="D138" s="106" t="s">
        <v>176</v>
      </c>
      <c r="E138" s="106"/>
      <c r="F138" s="106"/>
      <c r="G138" s="106"/>
      <c r="H138" s="106"/>
      <c r="I138" s="106"/>
      <c r="J138" s="106"/>
      <c r="K138" s="106"/>
      <c r="L138" s="106"/>
      <c r="M138" s="106"/>
      <c r="N138" s="106"/>
      <c r="O138" s="106"/>
      <c r="P138" s="106"/>
    </row>
    <row r="139" spans="1:16" x14ac:dyDescent="0.2">
      <c r="A139" s="103"/>
      <c r="B139" s="110"/>
      <c r="C139" s="110"/>
      <c r="D139" s="106"/>
      <c r="E139" s="106"/>
      <c r="F139" s="106"/>
      <c r="G139" s="106"/>
      <c r="H139" s="106"/>
      <c r="I139" s="106"/>
      <c r="J139" s="106"/>
      <c r="K139" s="106"/>
      <c r="L139" s="106"/>
      <c r="M139" s="106"/>
      <c r="N139" s="106"/>
      <c r="O139" s="106"/>
      <c r="P139" s="106"/>
    </row>
    <row r="140" spans="1:16" x14ac:dyDescent="0.2">
      <c r="A140" s="103"/>
      <c r="B140" s="110"/>
      <c r="C140" s="110"/>
      <c r="D140" s="106" t="s">
        <v>177</v>
      </c>
      <c r="E140" s="106"/>
      <c r="F140" s="106"/>
      <c r="G140" s="106"/>
      <c r="H140" s="106"/>
      <c r="I140" s="106"/>
      <c r="J140" s="106"/>
      <c r="K140" s="106"/>
      <c r="L140" s="106"/>
      <c r="M140" s="106"/>
      <c r="N140" s="106"/>
      <c r="O140" s="106"/>
      <c r="P140" s="106"/>
    </row>
    <row r="141" spans="1:16" x14ac:dyDescent="0.2">
      <c r="A141" s="103"/>
      <c r="B141" s="110"/>
      <c r="C141" s="110"/>
      <c r="D141" s="106" t="s">
        <v>230</v>
      </c>
      <c r="E141" s="106"/>
      <c r="F141" s="106"/>
      <c r="G141" s="106"/>
      <c r="H141" s="106"/>
      <c r="I141" s="106"/>
      <c r="J141" s="106"/>
      <c r="K141" s="106"/>
      <c r="L141" s="106"/>
      <c r="M141" s="106"/>
      <c r="N141" s="106"/>
      <c r="O141" s="106"/>
      <c r="P141" s="106"/>
    </row>
    <row r="142" spans="1:16" x14ac:dyDescent="0.2">
      <c r="A142" s="103"/>
      <c r="B142" s="110"/>
      <c r="C142" s="110"/>
      <c r="D142" s="106" t="s">
        <v>178</v>
      </c>
      <c r="E142" s="106"/>
      <c r="F142" s="106"/>
      <c r="G142" s="106"/>
      <c r="H142" s="106"/>
      <c r="I142" s="106"/>
      <c r="J142" s="106"/>
      <c r="K142" s="106"/>
      <c r="L142" s="106"/>
      <c r="M142" s="106"/>
      <c r="N142" s="106"/>
      <c r="O142" s="106"/>
      <c r="P142" s="106"/>
    </row>
    <row r="143" spans="1:16" x14ac:dyDescent="0.2">
      <c r="A143" s="103"/>
      <c r="B143" s="110"/>
      <c r="C143" s="110"/>
      <c r="D143" s="106"/>
      <c r="E143" s="106"/>
      <c r="F143" s="106"/>
      <c r="G143" s="106"/>
      <c r="H143" s="106"/>
      <c r="I143" s="106"/>
      <c r="J143" s="106"/>
      <c r="K143" s="106"/>
      <c r="L143" s="106"/>
      <c r="M143" s="106"/>
      <c r="N143" s="106"/>
      <c r="O143" s="106"/>
      <c r="P143" s="106"/>
    </row>
    <row r="144" spans="1:16" x14ac:dyDescent="0.2">
      <c r="A144" s="103"/>
      <c r="B144" s="110"/>
      <c r="C144" s="110"/>
      <c r="D144" s="423" t="s">
        <v>274</v>
      </c>
      <c r="E144" s="106"/>
      <c r="F144" s="106"/>
      <c r="G144" s="106"/>
      <c r="H144" s="422">
        <f>+H117</f>
        <v>0.6</v>
      </c>
      <c r="I144" s="106"/>
      <c r="J144" s="106"/>
      <c r="K144" s="106"/>
      <c r="L144" s="106"/>
      <c r="M144" s="106"/>
      <c r="N144" s="106"/>
      <c r="O144" s="106"/>
      <c r="P144" s="106"/>
    </row>
    <row r="145" spans="1:16" x14ac:dyDescent="0.2">
      <c r="A145" s="103"/>
      <c r="B145" s="110"/>
      <c r="C145" s="110"/>
      <c r="D145" s="106" t="s">
        <v>258</v>
      </c>
      <c r="E145" s="106"/>
      <c r="F145" s="106"/>
      <c r="G145" s="106"/>
      <c r="H145" s="106"/>
      <c r="I145" s="106"/>
      <c r="J145" s="106"/>
      <c r="K145" s="106"/>
      <c r="L145" s="106"/>
      <c r="M145" s="106"/>
      <c r="N145" s="106"/>
      <c r="O145" s="106"/>
      <c r="P145" s="106"/>
    </row>
    <row r="146" spans="1:16" x14ac:dyDescent="0.2">
      <c r="A146" s="103"/>
      <c r="B146" s="110"/>
      <c r="C146" s="110"/>
      <c r="D146" s="106" t="s">
        <v>179</v>
      </c>
      <c r="E146" s="106"/>
      <c r="F146" s="106"/>
      <c r="G146" s="106"/>
      <c r="H146" s="106"/>
      <c r="I146" s="106"/>
      <c r="J146" s="106"/>
      <c r="K146" s="106"/>
      <c r="L146" s="106"/>
      <c r="M146" s="106"/>
      <c r="N146" s="106"/>
      <c r="O146" s="106"/>
      <c r="P146" s="106"/>
    </row>
    <row r="147" spans="1:16" x14ac:dyDescent="0.2">
      <c r="A147" s="103"/>
      <c r="B147" s="110"/>
      <c r="C147" s="110"/>
      <c r="D147" s="106" t="s">
        <v>180</v>
      </c>
      <c r="E147" s="106"/>
      <c r="F147" s="106"/>
      <c r="G147" s="106"/>
      <c r="H147" s="106"/>
      <c r="I147" s="106"/>
      <c r="J147" s="106"/>
      <c r="K147" s="106"/>
      <c r="L147" s="106"/>
      <c r="M147" s="106"/>
      <c r="N147" s="106"/>
      <c r="O147" s="106"/>
      <c r="P147" s="106"/>
    </row>
    <row r="148" spans="1:16" x14ac:dyDescent="0.2">
      <c r="A148" s="103"/>
      <c r="B148" s="110"/>
      <c r="C148" s="110"/>
      <c r="D148" s="106"/>
      <c r="E148" s="106"/>
      <c r="F148" s="106"/>
      <c r="G148" s="106"/>
      <c r="H148" s="106"/>
      <c r="I148" s="106"/>
      <c r="J148" s="106"/>
      <c r="K148" s="106"/>
      <c r="L148" s="106"/>
      <c r="M148" s="106"/>
      <c r="N148" s="106"/>
      <c r="O148" s="106"/>
      <c r="P148" s="106"/>
    </row>
    <row r="149" spans="1:16" x14ac:dyDescent="0.2">
      <c r="A149" s="103"/>
      <c r="B149" s="110"/>
      <c r="C149" s="110">
        <v>4</v>
      </c>
      <c r="D149" s="109" t="s">
        <v>181</v>
      </c>
      <c r="E149" s="106"/>
      <c r="F149" s="106"/>
      <c r="G149" s="106"/>
      <c r="H149" s="106"/>
      <c r="I149" s="106"/>
      <c r="J149" s="106"/>
      <c r="K149" s="106"/>
      <c r="L149" s="106"/>
      <c r="M149" s="106"/>
      <c r="N149" s="106"/>
      <c r="O149" s="106"/>
      <c r="P149" s="106"/>
    </row>
    <row r="150" spans="1:16" x14ac:dyDescent="0.2">
      <c r="A150" s="103"/>
      <c r="B150" s="110"/>
      <c r="C150" s="110"/>
      <c r="D150" s="106" t="s">
        <v>182</v>
      </c>
      <c r="E150" s="106"/>
      <c r="F150" s="106"/>
      <c r="G150" s="106"/>
      <c r="H150" s="106"/>
      <c r="I150" s="106"/>
      <c r="J150" s="106"/>
      <c r="K150" s="106"/>
      <c r="L150" s="106"/>
      <c r="M150" s="106"/>
      <c r="N150" s="106"/>
      <c r="O150" s="106"/>
      <c r="P150" s="106"/>
    </row>
    <row r="151" spans="1:16" x14ac:dyDescent="0.2">
      <c r="A151" s="103"/>
      <c r="B151" s="110"/>
      <c r="C151" s="110"/>
      <c r="D151" s="106" t="s">
        <v>183</v>
      </c>
      <c r="E151" s="106"/>
      <c r="F151" s="106"/>
      <c r="G151" s="106"/>
      <c r="H151" s="106"/>
      <c r="I151" s="106"/>
      <c r="J151" s="106"/>
      <c r="K151" s="106"/>
      <c r="L151" s="106"/>
      <c r="M151" s="106"/>
      <c r="N151" s="106"/>
      <c r="O151" s="106"/>
      <c r="P151" s="106"/>
    </row>
    <row r="152" spans="1:16" x14ac:dyDescent="0.2">
      <c r="A152" s="103"/>
      <c r="B152" s="110"/>
      <c r="C152" s="110"/>
      <c r="D152" s="106" t="s">
        <v>184</v>
      </c>
      <c r="E152" s="106"/>
      <c r="F152" s="106"/>
      <c r="G152" s="106"/>
      <c r="H152" s="106"/>
      <c r="I152" s="106"/>
      <c r="J152" s="106"/>
      <c r="K152" s="106"/>
      <c r="L152" s="106"/>
      <c r="M152" s="106"/>
      <c r="N152" s="106"/>
      <c r="O152" s="106"/>
      <c r="P152" s="106"/>
    </row>
    <row r="153" spans="1:16" x14ac:dyDescent="0.2">
      <c r="A153" s="103"/>
      <c r="B153" s="110"/>
      <c r="C153" s="110"/>
      <c r="D153" s="106" t="s">
        <v>185</v>
      </c>
      <c r="E153" s="106"/>
      <c r="F153" s="106"/>
      <c r="G153" s="106"/>
      <c r="H153" s="106"/>
      <c r="I153" s="106"/>
      <c r="J153" s="106"/>
      <c r="K153" s="106"/>
      <c r="L153" s="106"/>
      <c r="M153" s="106"/>
      <c r="N153" s="106"/>
      <c r="O153" s="106"/>
      <c r="P153" s="106"/>
    </row>
    <row r="154" spans="1:16" x14ac:dyDescent="0.2">
      <c r="A154" s="103"/>
      <c r="B154" s="110"/>
      <c r="C154" s="110"/>
      <c r="D154" s="106"/>
      <c r="E154" s="106"/>
      <c r="F154" s="106"/>
      <c r="G154" s="106"/>
      <c r="H154" s="106"/>
      <c r="I154" s="106"/>
      <c r="J154" s="106"/>
      <c r="K154" s="106"/>
      <c r="L154" s="106"/>
      <c r="M154" s="106"/>
      <c r="N154" s="106"/>
      <c r="O154" s="106"/>
      <c r="P154" s="106"/>
    </row>
    <row r="155" spans="1:16" x14ac:dyDescent="0.2">
      <c r="A155" s="103"/>
      <c r="B155" s="110"/>
      <c r="C155" s="110"/>
      <c r="D155" s="423" t="s">
        <v>274</v>
      </c>
      <c r="E155" s="106"/>
      <c r="F155" s="106"/>
      <c r="G155" s="106"/>
      <c r="H155" s="422">
        <f>+H144</f>
        <v>0.6</v>
      </c>
      <c r="I155" s="106"/>
      <c r="J155" s="106"/>
      <c r="K155" s="106"/>
      <c r="L155" s="106"/>
      <c r="M155" s="106"/>
      <c r="N155" s="106"/>
      <c r="O155" s="106"/>
      <c r="P155" s="106"/>
    </row>
    <row r="156" spans="1:16" x14ac:dyDescent="0.2">
      <c r="A156" s="103"/>
      <c r="B156" s="110"/>
      <c r="C156" s="110"/>
      <c r="D156" s="106" t="s">
        <v>258</v>
      </c>
      <c r="E156" s="106"/>
      <c r="F156" s="106"/>
      <c r="G156" s="106"/>
      <c r="H156" s="106"/>
      <c r="I156" s="106"/>
      <c r="J156" s="106"/>
      <c r="K156" s="106"/>
      <c r="L156" s="106"/>
      <c r="M156" s="106"/>
      <c r="N156" s="106"/>
      <c r="O156" s="106"/>
      <c r="P156" s="106"/>
    </row>
    <row r="157" spans="1:16" x14ac:dyDescent="0.2">
      <c r="A157" s="103"/>
      <c r="B157" s="110"/>
      <c r="C157" s="110"/>
      <c r="D157" s="106" t="s">
        <v>179</v>
      </c>
      <c r="E157" s="106"/>
      <c r="F157" s="106"/>
      <c r="G157" s="106"/>
      <c r="H157" s="106"/>
      <c r="I157" s="106"/>
      <c r="J157" s="106"/>
      <c r="K157" s="106"/>
      <c r="L157" s="106"/>
      <c r="M157" s="106"/>
      <c r="N157" s="106"/>
      <c r="O157" s="106"/>
      <c r="P157" s="106"/>
    </row>
    <row r="158" spans="1:16" x14ac:dyDescent="0.2">
      <c r="A158" s="103"/>
      <c r="B158" s="110"/>
      <c r="C158" s="110"/>
      <c r="D158" s="106" t="s">
        <v>180</v>
      </c>
      <c r="E158" s="106"/>
      <c r="F158" s="106"/>
      <c r="G158" s="106"/>
      <c r="H158" s="106"/>
      <c r="I158" s="106"/>
      <c r="J158" s="106"/>
      <c r="K158" s="106"/>
      <c r="L158" s="106"/>
      <c r="M158" s="106"/>
      <c r="N158" s="106"/>
      <c r="O158" s="106"/>
      <c r="P158" s="106"/>
    </row>
    <row r="159" spans="1:16" x14ac:dyDescent="0.2">
      <c r="A159" s="103"/>
      <c r="B159" s="110"/>
      <c r="C159" s="110"/>
      <c r="D159" s="106"/>
      <c r="E159" s="106"/>
      <c r="F159" s="106"/>
      <c r="G159" s="106"/>
      <c r="H159" s="106"/>
      <c r="I159" s="106"/>
      <c r="J159" s="106"/>
      <c r="K159" s="106"/>
      <c r="L159" s="106"/>
      <c r="M159" s="106"/>
      <c r="N159" s="106"/>
      <c r="O159" s="106"/>
      <c r="P159" s="106"/>
    </row>
    <row r="160" spans="1:16" x14ac:dyDescent="0.2">
      <c r="A160" s="103"/>
      <c r="B160" s="110"/>
      <c r="C160" s="110"/>
      <c r="D160" s="132" t="s">
        <v>165</v>
      </c>
      <c r="E160" s="106"/>
      <c r="F160" s="106"/>
      <c r="G160" s="106"/>
      <c r="H160" s="106"/>
      <c r="I160" s="106"/>
      <c r="J160" s="106"/>
      <c r="K160" s="106"/>
      <c r="L160" s="106"/>
      <c r="M160" s="106"/>
      <c r="N160" s="106"/>
      <c r="O160" s="106"/>
      <c r="P160" s="106"/>
    </row>
    <row r="161" spans="1:16" x14ac:dyDescent="0.2">
      <c r="A161" s="103"/>
      <c r="B161" s="110"/>
      <c r="C161" s="110"/>
      <c r="D161" s="106" t="s">
        <v>212</v>
      </c>
      <c r="E161" s="106"/>
      <c r="F161" s="106"/>
      <c r="G161" s="106"/>
      <c r="H161" s="106"/>
      <c r="I161" s="106"/>
      <c r="J161" s="106"/>
      <c r="K161" s="106"/>
      <c r="L161" s="106"/>
      <c r="M161" s="106"/>
      <c r="N161" s="106"/>
      <c r="O161" s="106"/>
      <c r="P161" s="106"/>
    </row>
    <row r="162" spans="1:16" x14ac:dyDescent="0.2">
      <c r="A162" s="103"/>
      <c r="B162" s="110"/>
      <c r="C162" s="110"/>
      <c r="D162" s="106" t="s">
        <v>186</v>
      </c>
      <c r="E162" s="106"/>
      <c r="F162" s="106"/>
      <c r="G162" s="106"/>
      <c r="H162" s="106"/>
      <c r="I162" s="106"/>
      <c r="J162" s="106"/>
      <c r="K162" s="106"/>
      <c r="L162" s="106"/>
      <c r="M162" s="106"/>
      <c r="N162" s="106"/>
      <c r="O162" s="106"/>
      <c r="P162" s="106"/>
    </row>
    <row r="163" spans="1:16" x14ac:dyDescent="0.2">
      <c r="A163" s="103"/>
      <c r="B163" s="110"/>
      <c r="C163" s="110"/>
      <c r="D163" s="106" t="s">
        <v>187</v>
      </c>
      <c r="E163" s="106"/>
      <c r="F163" s="106"/>
      <c r="G163" s="106"/>
      <c r="H163" s="106"/>
      <c r="I163" s="106"/>
      <c r="J163" s="106"/>
      <c r="K163" s="106"/>
      <c r="L163" s="106"/>
      <c r="M163" s="106"/>
      <c r="N163" s="106"/>
      <c r="O163" s="106"/>
      <c r="P163" s="106"/>
    </row>
    <row r="164" spans="1:16" x14ac:dyDescent="0.2">
      <c r="A164" s="103"/>
      <c r="B164" s="110"/>
      <c r="C164" s="110"/>
      <c r="D164" s="106" t="s">
        <v>188</v>
      </c>
      <c r="E164" s="106"/>
      <c r="F164" s="106"/>
      <c r="G164" s="106"/>
      <c r="H164" s="106"/>
      <c r="I164" s="106"/>
      <c r="J164" s="106"/>
      <c r="K164" s="106"/>
      <c r="L164" s="106"/>
      <c r="M164" s="106"/>
      <c r="N164" s="106"/>
      <c r="O164" s="106"/>
      <c r="P164" s="106"/>
    </row>
    <row r="165" spans="1:16" x14ac:dyDescent="0.2">
      <c r="A165" s="103"/>
      <c r="B165" s="110"/>
      <c r="C165" s="110"/>
      <c r="D165" s="106" t="s">
        <v>189</v>
      </c>
      <c r="E165" s="106"/>
      <c r="F165" s="106"/>
      <c r="G165" s="106"/>
      <c r="H165" s="106"/>
      <c r="I165" s="106"/>
      <c r="J165" s="106"/>
      <c r="K165" s="106"/>
      <c r="L165" s="106"/>
      <c r="M165" s="106"/>
      <c r="N165" s="106"/>
      <c r="O165" s="106"/>
      <c r="P165" s="106"/>
    </row>
    <row r="166" spans="1:16" x14ac:dyDescent="0.2">
      <c r="A166" s="103"/>
      <c r="B166" s="110"/>
      <c r="C166" s="110"/>
      <c r="D166" s="106" t="s">
        <v>190</v>
      </c>
      <c r="E166" s="106"/>
      <c r="F166" s="106"/>
      <c r="G166" s="106"/>
      <c r="H166" s="106"/>
      <c r="I166" s="106"/>
      <c r="J166" s="106"/>
      <c r="K166" s="106"/>
      <c r="L166" s="106"/>
      <c r="M166" s="106"/>
      <c r="N166" s="106"/>
      <c r="O166" s="106"/>
      <c r="P166" s="106"/>
    </row>
    <row r="167" spans="1:16" x14ac:dyDescent="0.2">
      <c r="A167" s="103"/>
      <c r="B167" s="110"/>
      <c r="C167" s="110"/>
      <c r="D167" s="106" t="s">
        <v>191</v>
      </c>
      <c r="E167" s="106"/>
      <c r="F167" s="106"/>
      <c r="G167" s="106"/>
      <c r="H167" s="106"/>
      <c r="I167" s="106"/>
      <c r="J167" s="106"/>
      <c r="K167" s="106"/>
      <c r="L167" s="106"/>
      <c r="M167" s="106"/>
      <c r="N167" s="106"/>
      <c r="O167" s="106"/>
      <c r="P167" s="106"/>
    </row>
    <row r="168" spans="1:16" x14ac:dyDescent="0.2">
      <c r="A168" s="103"/>
      <c r="B168" s="110"/>
      <c r="C168" s="110"/>
      <c r="D168" s="106"/>
      <c r="E168" s="106"/>
      <c r="F168" s="106"/>
      <c r="G168" s="106"/>
      <c r="H168" s="106"/>
      <c r="I168" s="106"/>
      <c r="J168" s="106"/>
      <c r="K168" s="106"/>
      <c r="L168" s="106"/>
      <c r="M168" s="106"/>
      <c r="N168" s="106"/>
      <c r="O168" s="106"/>
      <c r="P168" s="106"/>
    </row>
    <row r="169" spans="1:16" x14ac:dyDescent="0.2">
      <c r="A169" s="103"/>
      <c r="B169" s="110"/>
      <c r="C169" s="110">
        <v>5</v>
      </c>
      <c r="D169" s="109" t="s">
        <v>30</v>
      </c>
      <c r="E169" s="106"/>
      <c r="F169" s="106"/>
      <c r="G169" s="106"/>
      <c r="H169" s="106"/>
      <c r="I169" s="106"/>
      <c r="J169" s="106"/>
      <c r="K169" s="106"/>
      <c r="L169" s="106"/>
      <c r="M169" s="106"/>
      <c r="N169" s="106"/>
      <c r="O169" s="106"/>
      <c r="P169" s="106"/>
    </row>
    <row r="170" spans="1:16" x14ac:dyDescent="0.2">
      <c r="A170" s="103"/>
      <c r="B170" s="110"/>
      <c r="C170" s="110"/>
      <c r="D170" s="377" t="s">
        <v>372</v>
      </c>
      <c r="E170" s="106"/>
      <c r="F170" s="106"/>
      <c r="G170" s="106"/>
      <c r="H170" s="106"/>
      <c r="I170" s="106"/>
      <c r="J170" s="106"/>
      <c r="K170" s="106"/>
      <c r="L170" s="106"/>
      <c r="M170" s="106"/>
      <c r="N170" s="106"/>
      <c r="O170" s="106"/>
      <c r="P170" s="106"/>
    </row>
    <row r="171" spans="1:16" x14ac:dyDescent="0.2">
      <c r="A171" s="103"/>
      <c r="B171" s="110"/>
      <c r="C171" s="110"/>
      <c r="D171" s="106" t="s">
        <v>215</v>
      </c>
      <c r="E171" s="106"/>
      <c r="F171" s="106"/>
      <c r="G171" s="106"/>
      <c r="H171" s="106"/>
      <c r="I171" s="106"/>
      <c r="J171" s="106"/>
      <c r="K171" s="106"/>
      <c r="L171" s="106"/>
      <c r="M171" s="106"/>
      <c r="N171" s="106"/>
      <c r="O171" s="106"/>
      <c r="P171" s="106"/>
    </row>
    <row r="172" spans="1:16" x14ac:dyDescent="0.2">
      <c r="A172" s="103"/>
      <c r="B172" s="110"/>
      <c r="C172" s="110"/>
      <c r="D172" s="106"/>
      <c r="E172" s="106"/>
      <c r="F172" s="106"/>
      <c r="G172" s="106"/>
      <c r="H172" s="106"/>
      <c r="I172" s="106"/>
      <c r="J172" s="106"/>
      <c r="K172" s="106"/>
      <c r="L172" s="106"/>
      <c r="M172" s="106"/>
      <c r="N172" s="106"/>
      <c r="O172" s="106"/>
      <c r="P172" s="106"/>
    </row>
    <row r="173" spans="1:16" x14ac:dyDescent="0.2">
      <c r="A173" s="103"/>
      <c r="B173" s="110"/>
      <c r="C173" s="110"/>
      <c r="D173" s="106"/>
      <c r="E173" s="106"/>
      <c r="F173" s="106"/>
      <c r="G173" s="106"/>
      <c r="H173" s="106"/>
      <c r="I173" s="106"/>
      <c r="J173" s="106"/>
      <c r="K173" s="106"/>
      <c r="L173" s="106"/>
      <c r="M173" s="106"/>
      <c r="N173" s="106"/>
      <c r="O173" s="106"/>
      <c r="P173" s="106"/>
    </row>
    <row r="174" spans="1:16" x14ac:dyDescent="0.2">
      <c r="A174" s="103"/>
      <c r="B174" s="110"/>
      <c r="C174" s="110"/>
      <c r="D174" s="109" t="s">
        <v>218</v>
      </c>
      <c r="E174" s="106"/>
      <c r="F174" s="106"/>
      <c r="G174" s="106"/>
      <c r="H174" s="106"/>
      <c r="I174" s="106"/>
      <c r="J174" s="106"/>
      <c r="K174" s="106"/>
      <c r="L174" s="106"/>
      <c r="M174" s="106"/>
      <c r="N174" s="106"/>
      <c r="O174" s="106"/>
      <c r="P174" s="106"/>
    </row>
    <row r="175" spans="1:16" x14ac:dyDescent="0.2">
      <c r="A175" s="103"/>
      <c r="B175" s="405"/>
      <c r="C175" s="405"/>
      <c r="D175" s="403" t="s">
        <v>315</v>
      </c>
      <c r="E175" s="106"/>
      <c r="F175" s="109"/>
      <c r="G175" s="377"/>
      <c r="H175" s="377"/>
      <c r="I175" s="377"/>
      <c r="J175" s="377"/>
      <c r="K175" s="139" t="s">
        <v>246</v>
      </c>
      <c r="L175" s="377"/>
      <c r="M175" s="377"/>
      <c r="N175" s="377"/>
      <c r="O175" s="377"/>
      <c r="P175" s="377"/>
    </row>
    <row r="176" spans="1:16" x14ac:dyDescent="0.2">
      <c r="A176" s="103"/>
      <c r="B176" s="377"/>
      <c r="C176" s="377"/>
      <c r="D176" s="403" t="s">
        <v>320</v>
      </c>
      <c r="E176" s="106"/>
      <c r="F176" s="106"/>
      <c r="G176" s="106"/>
      <c r="H176" s="106"/>
      <c r="I176" s="106"/>
      <c r="J176" s="106"/>
      <c r="K176" s="451" t="s">
        <v>321</v>
      </c>
      <c r="L176" s="377"/>
      <c r="M176" s="377"/>
      <c r="N176" s="377"/>
      <c r="O176" s="377"/>
      <c r="P176" s="377"/>
    </row>
    <row r="177" spans="1:16" x14ac:dyDescent="0.2">
      <c r="A177" s="103"/>
      <c r="B177" s="377"/>
      <c r="C177" s="377"/>
      <c r="D177" s="377"/>
      <c r="E177" s="377"/>
      <c r="F177" s="377"/>
      <c r="G177" s="377"/>
      <c r="H177" s="377"/>
      <c r="I177" s="377"/>
      <c r="J177" s="377"/>
      <c r="K177" s="377"/>
      <c r="L177" s="377"/>
      <c r="M177" s="377"/>
      <c r="N177" s="377"/>
      <c r="O177" s="377"/>
      <c r="P177" s="377"/>
    </row>
    <row r="178" spans="1:16" x14ac:dyDescent="0.2">
      <c r="A178" s="103"/>
      <c r="B178" s="106"/>
      <c r="C178" s="106"/>
      <c r="D178" s="106"/>
      <c r="E178" s="106"/>
      <c r="F178" s="106"/>
      <c r="G178" s="106"/>
      <c r="H178" s="106"/>
      <c r="I178" s="106"/>
      <c r="J178" s="106"/>
      <c r="K178" s="106"/>
      <c r="L178" s="106"/>
      <c r="M178" s="106"/>
      <c r="N178" s="106"/>
      <c r="O178" s="106"/>
      <c r="P178" s="106"/>
    </row>
    <row r="179" spans="1:16" s="406" customFormat="1" x14ac:dyDescent="0.2">
      <c r="A179" s="404"/>
      <c r="B179" s="106"/>
      <c r="C179" s="106"/>
      <c r="D179" s="106"/>
      <c r="E179" s="106"/>
      <c r="F179" s="106"/>
      <c r="G179" s="106"/>
      <c r="H179" s="106"/>
      <c r="I179" s="106"/>
      <c r="J179" s="106"/>
      <c r="K179" s="106"/>
      <c r="L179" s="106"/>
      <c r="M179" s="106"/>
      <c r="N179" s="106"/>
      <c r="O179" s="106"/>
      <c r="P179" s="106"/>
    </row>
    <row r="180" spans="1:16" s="406" customFormat="1" x14ac:dyDescent="0.2">
      <c r="B180" s="112"/>
      <c r="C180" s="112"/>
      <c r="D180" s="112"/>
      <c r="E180" s="112"/>
      <c r="F180" s="112"/>
      <c r="G180" s="112"/>
      <c r="H180" s="112"/>
      <c r="I180" s="112"/>
      <c r="J180" s="112"/>
      <c r="K180" s="112"/>
      <c r="L180" s="112"/>
      <c r="M180" s="112"/>
      <c r="N180" s="112"/>
      <c r="O180" s="425" t="s">
        <v>276</v>
      </c>
      <c r="P180" s="112"/>
    </row>
    <row r="181" spans="1:16" s="406" customFormat="1" x14ac:dyDescent="0.2">
      <c r="B181" s="102"/>
      <c r="C181" s="102"/>
      <c r="D181" s="102"/>
      <c r="E181" s="102"/>
      <c r="F181" s="102"/>
      <c r="G181" s="102"/>
      <c r="H181" s="102"/>
      <c r="I181" s="102"/>
      <c r="J181" s="102"/>
      <c r="K181" s="102"/>
      <c r="L181" s="102"/>
      <c r="M181" s="102"/>
      <c r="N181" s="102"/>
      <c r="O181" s="102"/>
      <c r="P181" s="102"/>
    </row>
  </sheetData>
  <phoneticPr fontId="6" type="noConversion"/>
  <hyperlinks>
    <hyperlink ref="K175" r:id="rId1"/>
    <hyperlink ref="K176" r:id="rId2"/>
    <hyperlink ref="O180" r:id="rId3"/>
    <hyperlink ref="M29" r:id="rId4"/>
  </hyperlinks>
  <printOptions gridLines="1"/>
  <pageMargins left="0.74803149606299213" right="0.74803149606299213" top="0.98425196850393704" bottom="0.98425196850393704" header="0.51181102362204722" footer="0.51181102362204722"/>
  <pageSetup paperSize="9" scale="60" orientation="portrait" r:id="rId5"/>
  <headerFooter alignWithMargins="0">
    <oddHeader>&amp;L&amp;"Arial,Vet"&amp;A&amp;C&amp;"Arial,Vet"&amp;D&amp;R&amp;"Arial,Vet"&amp;F</oddHeader>
    <oddFooter>&amp;L&amp;"Arial,Vet"&amp;8gemaakt door Keizer voor VOSABB&amp;R&amp;"Arial,Vet"&amp;P</oddFooter>
  </headerFooter>
  <rowBreaks count="1" manualBreakCount="1">
    <brk id="90" min="1" max="15"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146"/>
  <sheetViews>
    <sheetView zoomScale="85" zoomScaleNormal="85" workbookViewId="0">
      <selection activeCell="B2" sqref="B2"/>
    </sheetView>
  </sheetViews>
  <sheetFormatPr defaultColWidth="9.7109375" defaultRowHeight="13.5" customHeight="1" x14ac:dyDescent="0.25"/>
  <cols>
    <col min="1" max="1" width="3.7109375" style="1" customWidth="1"/>
    <col min="2" max="4" width="2.5703125" style="1" customWidth="1"/>
    <col min="5" max="5" width="35.7109375" style="1" customWidth="1"/>
    <col min="6" max="6" width="12.7109375" style="4" customWidth="1"/>
    <col min="7" max="7" width="12.7109375" style="7" customWidth="1"/>
    <col min="8" max="8" width="2.7109375" style="7" customWidth="1"/>
    <col min="9" max="10" width="12.85546875" style="1" customWidth="1"/>
    <col min="11" max="11" width="2.7109375" style="1" customWidth="1"/>
    <col min="12" max="12" width="13.28515625" style="1" customWidth="1"/>
    <col min="13" max="13" width="13.5703125" style="1" customWidth="1"/>
    <col min="14" max="15" width="2.7109375" style="1" customWidth="1"/>
    <col min="16" max="16384" width="9.7109375" style="1"/>
  </cols>
  <sheetData>
    <row r="2" spans="2:15" ht="13.5" customHeight="1" x14ac:dyDescent="0.25">
      <c r="B2" s="13"/>
      <c r="C2" s="14"/>
      <c r="D2" s="14"/>
      <c r="E2" s="14"/>
      <c r="F2" s="15"/>
      <c r="G2" s="16"/>
      <c r="H2" s="16"/>
      <c r="I2" s="14"/>
      <c r="J2" s="14"/>
      <c r="K2" s="14"/>
      <c r="L2" s="14"/>
      <c r="M2" s="14"/>
      <c r="N2" s="14"/>
      <c r="O2" s="17"/>
    </row>
    <row r="3" spans="2:15" ht="13.5" customHeight="1" x14ac:dyDescent="0.25">
      <c r="B3" s="18"/>
      <c r="C3" s="19"/>
      <c r="D3" s="19"/>
      <c r="E3" s="19"/>
      <c r="F3" s="20"/>
      <c r="G3" s="21"/>
      <c r="H3" s="21"/>
      <c r="I3" s="19"/>
      <c r="J3" s="19"/>
      <c r="K3" s="19"/>
      <c r="L3" s="19"/>
      <c r="M3" s="19"/>
      <c r="N3" s="19"/>
      <c r="O3" s="22"/>
    </row>
    <row r="4" spans="2:15" s="91" customFormat="1" ht="18" customHeight="1" x14ac:dyDescent="0.3">
      <c r="B4" s="85"/>
      <c r="C4" s="86" t="s">
        <v>221</v>
      </c>
      <c r="D4" s="86"/>
      <c r="E4" s="86"/>
      <c r="F4" s="88">
        <f>tabellen!B2</f>
        <v>2020</v>
      </c>
      <c r="G4" s="87" t="str">
        <f>tabellen!C2</f>
        <v xml:space="preserve"> vanaf 1 juli</v>
      </c>
      <c r="H4" s="88"/>
      <c r="I4" s="86"/>
      <c r="J4" s="86"/>
      <c r="K4" s="86"/>
      <c r="L4" s="89"/>
      <c r="M4" s="86"/>
      <c r="N4" s="86"/>
      <c r="O4" s="90"/>
    </row>
    <row r="5" spans="2:15" ht="13.5" customHeight="1" x14ac:dyDescent="0.25">
      <c r="B5" s="18"/>
      <c r="C5" s="19"/>
      <c r="D5" s="19"/>
      <c r="E5" s="24"/>
      <c r="F5" s="20"/>
      <c r="G5" s="21"/>
      <c r="H5" s="21"/>
      <c r="I5" s="399">
        <f ca="1">NOW()</f>
        <v>44108.634071875</v>
      </c>
      <c r="J5" s="395"/>
      <c r="K5" s="19"/>
      <c r="L5" s="397"/>
      <c r="M5" s="395"/>
      <c r="N5" s="19"/>
      <c r="O5" s="22"/>
    </row>
    <row r="6" spans="2:15" ht="13.5" customHeight="1" x14ac:dyDescent="0.25">
      <c r="B6" s="18"/>
      <c r="C6" s="155"/>
      <c r="D6" s="156"/>
      <c r="E6" s="157"/>
      <c r="F6" s="158"/>
      <c r="G6" s="159"/>
      <c r="H6" s="159"/>
      <c r="I6" s="156"/>
      <c r="J6" s="156"/>
      <c r="K6" s="156"/>
      <c r="L6" s="160"/>
      <c r="M6" s="156"/>
      <c r="N6" s="161"/>
      <c r="O6" s="22"/>
    </row>
    <row r="7" spans="2:15" ht="13.5" customHeight="1" x14ac:dyDescent="0.25">
      <c r="B7" s="18"/>
      <c r="C7" s="162"/>
      <c r="D7" s="163" t="s">
        <v>231</v>
      </c>
      <c r="E7" s="164"/>
      <c r="F7" s="439"/>
      <c r="G7" s="166"/>
      <c r="H7" s="166"/>
      <c r="I7" s="167"/>
      <c r="J7" s="167"/>
      <c r="K7" s="167"/>
      <c r="L7" s="168"/>
      <c r="M7" s="167"/>
      <c r="N7" s="169"/>
      <c r="O7" s="22"/>
    </row>
    <row r="8" spans="2:15" ht="13.5" customHeight="1" x14ac:dyDescent="0.25">
      <c r="B8" s="18"/>
      <c r="C8" s="162"/>
      <c r="D8" s="167"/>
      <c r="E8" s="164"/>
      <c r="F8" s="165"/>
      <c r="G8" s="166"/>
      <c r="H8" s="166"/>
      <c r="I8" s="167"/>
      <c r="J8" s="167"/>
      <c r="K8" s="167"/>
      <c r="L8" s="168"/>
      <c r="M8" s="167"/>
      <c r="N8" s="169"/>
      <c r="O8" s="22"/>
    </row>
    <row r="9" spans="2:15" ht="13.5" customHeight="1" x14ac:dyDescent="0.25">
      <c r="B9" s="27"/>
      <c r="C9" s="170"/>
      <c r="D9" s="167" t="s">
        <v>65</v>
      </c>
      <c r="E9" s="167"/>
      <c r="F9" s="167"/>
      <c r="G9" s="167"/>
      <c r="H9" s="167"/>
      <c r="I9" s="171" t="s">
        <v>27</v>
      </c>
      <c r="J9" s="172"/>
      <c r="K9" s="167"/>
      <c r="L9" s="173"/>
      <c r="M9" s="167"/>
      <c r="N9" s="169"/>
      <c r="O9" s="22"/>
    </row>
    <row r="10" spans="2:15" ht="13.5" customHeight="1" x14ac:dyDescent="0.25">
      <c r="B10" s="18"/>
      <c r="C10" s="162"/>
      <c r="D10" s="167" t="s">
        <v>242</v>
      </c>
      <c r="E10" s="167"/>
      <c r="F10" s="165"/>
      <c r="G10" s="166"/>
      <c r="H10" s="166"/>
      <c r="I10" s="394">
        <v>21551</v>
      </c>
      <c r="J10" s="396">
        <f ca="1">YEAR(I5)-YEAR(I10)</f>
        <v>61</v>
      </c>
      <c r="K10" s="175"/>
      <c r="L10" s="398">
        <f ca="1">MONTH(I5)-MONTH(I10)</f>
        <v>9</v>
      </c>
      <c r="M10" s="398">
        <f ca="1">DAY(I5)-DAY(I10)</f>
        <v>3</v>
      </c>
      <c r="N10" s="169"/>
      <c r="O10" s="22"/>
    </row>
    <row r="11" spans="2:15" ht="13.5" customHeight="1" x14ac:dyDescent="0.25">
      <c r="B11" s="18"/>
      <c r="C11" s="162"/>
      <c r="D11" s="178"/>
      <c r="E11" s="167"/>
      <c r="F11" s="165"/>
      <c r="G11" s="166"/>
      <c r="H11" s="166"/>
      <c r="I11" s="177"/>
      <c r="J11" s="175"/>
      <c r="K11" s="175"/>
      <c r="L11" s="176"/>
      <c r="M11" s="176"/>
      <c r="N11" s="169"/>
      <c r="O11" s="22"/>
    </row>
    <row r="12" spans="2:15" ht="13.5" customHeight="1" x14ac:dyDescent="0.25">
      <c r="B12" s="18"/>
      <c r="C12" s="162"/>
      <c r="D12" s="179" t="s">
        <v>18</v>
      </c>
      <c r="E12" s="167"/>
      <c r="F12" s="167"/>
      <c r="G12" s="167"/>
      <c r="H12" s="167"/>
      <c r="I12" s="180"/>
      <c r="J12" s="167"/>
      <c r="K12" s="167"/>
      <c r="L12" s="167"/>
      <c r="M12" s="176"/>
      <c r="N12" s="169"/>
      <c r="O12" s="22"/>
    </row>
    <row r="13" spans="2:15" ht="13.5" customHeight="1" x14ac:dyDescent="0.25">
      <c r="B13" s="18"/>
      <c r="C13" s="162"/>
      <c r="D13" s="165" t="s">
        <v>16</v>
      </c>
      <c r="E13" s="167"/>
      <c r="F13" s="167"/>
      <c r="G13" s="165"/>
      <c r="H13" s="166"/>
      <c r="I13" s="174" t="s">
        <v>328</v>
      </c>
      <c r="J13" s="497">
        <f>IF(AND(I13&gt;0,I13&lt;17),100,0)</f>
        <v>0</v>
      </c>
      <c r="K13" s="176"/>
      <c r="L13" s="176"/>
      <c r="M13" s="167"/>
      <c r="N13" s="169"/>
      <c r="O13" s="22"/>
    </row>
    <row r="14" spans="2:15" ht="13.5" customHeight="1" x14ac:dyDescent="0.25">
      <c r="B14" s="18"/>
      <c r="C14" s="162"/>
      <c r="D14" s="165" t="s">
        <v>17</v>
      </c>
      <c r="E14" s="167"/>
      <c r="F14" s="167"/>
      <c r="G14" s="166"/>
      <c r="H14" s="166"/>
      <c r="I14" s="174">
        <v>12</v>
      </c>
      <c r="J14" s="448" t="str">
        <f>IF(AND(I14&gt;0,I14&lt;M14+1)," ",B103)</f>
        <v xml:space="preserve"> </v>
      </c>
      <c r="K14" s="182"/>
      <c r="L14" s="176"/>
      <c r="M14" s="183">
        <f>VLOOKUP(I13,salaris2020,22,FALSE)</f>
        <v>15</v>
      </c>
      <c r="N14" s="169"/>
      <c r="O14" s="22"/>
    </row>
    <row r="15" spans="2:15" ht="13.5" customHeight="1" x14ac:dyDescent="0.25">
      <c r="B15" s="18"/>
      <c r="C15" s="162"/>
      <c r="D15" s="165" t="s">
        <v>19</v>
      </c>
      <c r="E15" s="167"/>
      <c r="F15" s="167"/>
      <c r="G15" s="166"/>
      <c r="H15" s="166"/>
      <c r="I15" s="503">
        <f>VLOOKUP(I13,salaris2020,I14+1,FALSE)</f>
        <v>3976</v>
      </c>
      <c r="J15" s="176"/>
      <c r="K15" s="176"/>
      <c r="L15" s="176"/>
      <c r="M15" s="176"/>
      <c r="N15" s="169"/>
      <c r="O15" s="22"/>
    </row>
    <row r="16" spans="2:15" ht="13.5" customHeight="1" x14ac:dyDescent="0.25">
      <c r="B16" s="18"/>
      <c r="C16" s="162"/>
      <c r="D16" s="167" t="s">
        <v>20</v>
      </c>
      <c r="E16" s="167"/>
      <c r="F16" s="165"/>
      <c r="G16" s="166"/>
      <c r="H16" s="166"/>
      <c r="I16" s="184">
        <v>1</v>
      </c>
      <c r="J16" s="176"/>
      <c r="K16" s="176"/>
      <c r="L16" s="176"/>
      <c r="M16" s="176"/>
      <c r="N16" s="169"/>
      <c r="O16" s="22"/>
    </row>
    <row r="17" spans="2:15" ht="13.5" customHeight="1" x14ac:dyDescent="0.25">
      <c r="B17" s="18"/>
      <c r="C17" s="162"/>
      <c r="D17" s="165" t="s">
        <v>21</v>
      </c>
      <c r="E17" s="167"/>
      <c r="F17" s="167"/>
      <c r="G17" s="166"/>
      <c r="H17" s="166"/>
      <c r="I17" s="503">
        <f>+I15*I16</f>
        <v>3976</v>
      </c>
      <c r="J17" s="176"/>
      <c r="K17" s="176"/>
      <c r="L17" s="176"/>
      <c r="M17" s="176"/>
      <c r="N17" s="169"/>
      <c r="O17" s="22"/>
    </row>
    <row r="18" spans="2:15" ht="13.5" customHeight="1" x14ac:dyDescent="0.25">
      <c r="B18" s="18"/>
      <c r="C18" s="162"/>
      <c r="D18" s="167"/>
      <c r="E18" s="167"/>
      <c r="F18" s="165"/>
      <c r="G18" s="166"/>
      <c r="H18" s="166"/>
      <c r="I18" s="181"/>
      <c r="J18" s="176"/>
      <c r="K18" s="176"/>
      <c r="L18" s="176"/>
      <c r="M18" s="176"/>
      <c r="N18" s="169"/>
      <c r="O18" s="22"/>
    </row>
    <row r="19" spans="2:15" ht="13.5" customHeight="1" x14ac:dyDescent="0.25">
      <c r="B19" s="18"/>
      <c r="C19" s="162"/>
      <c r="D19" s="178" t="s">
        <v>335</v>
      </c>
      <c r="E19" s="167"/>
      <c r="F19" s="165"/>
      <c r="G19" s="166"/>
      <c r="H19" s="166"/>
      <c r="I19" s="167"/>
      <c r="J19" s="176"/>
      <c r="K19" s="176"/>
      <c r="L19" s="176"/>
      <c r="M19" s="176"/>
      <c r="N19" s="169"/>
      <c r="O19" s="22"/>
    </row>
    <row r="20" spans="2:15" ht="13.5" customHeight="1" x14ac:dyDescent="0.25">
      <c r="B20" s="18"/>
      <c r="C20" s="162"/>
      <c r="D20" s="442" t="s">
        <v>333</v>
      </c>
      <c r="E20" s="167"/>
      <c r="F20" s="496"/>
      <c r="G20" s="432" t="s">
        <v>358</v>
      </c>
      <c r="H20" s="187"/>
      <c r="I20" s="503">
        <f>ROUND(IF(G20="j",VLOOKUP(I13,uitlooptoeslag,2,FALSE))*IF(I16&gt;1,1,I16),2)</f>
        <v>0</v>
      </c>
      <c r="J20" s="176"/>
      <c r="K20" s="176"/>
      <c r="L20" s="176"/>
      <c r="M20" s="176"/>
      <c r="N20" s="169"/>
      <c r="O20" s="22"/>
    </row>
    <row r="21" spans="2:15" ht="13.5" customHeight="1" x14ac:dyDescent="0.25">
      <c r="B21" s="18"/>
      <c r="C21" s="162"/>
      <c r="D21" s="165" t="s">
        <v>32</v>
      </c>
      <c r="E21" s="167"/>
      <c r="F21" s="165"/>
      <c r="G21" s="410">
        <v>0.08</v>
      </c>
      <c r="H21" s="188"/>
      <c r="I21" s="503">
        <f>ROUND(IF((I$17+I$20)*G21&lt;I16*tabellen!D143,I16*tabellen!D143,(I$17+I$20)*G21),2)</f>
        <v>318.08</v>
      </c>
      <c r="J21" s="176"/>
      <c r="K21" s="176"/>
      <c r="L21" s="176"/>
      <c r="M21" s="176"/>
      <c r="N21" s="169"/>
      <c r="O21" s="22"/>
    </row>
    <row r="22" spans="2:15" ht="13.5" customHeight="1" x14ac:dyDescent="0.25">
      <c r="B22" s="18"/>
      <c r="C22" s="162"/>
      <c r="D22" s="165" t="s">
        <v>69</v>
      </c>
      <c r="E22" s="167"/>
      <c r="F22" s="165"/>
      <c r="G22" s="189">
        <f>+tabellen!D144</f>
        <v>6.3E-2</v>
      </c>
      <c r="H22" s="190"/>
      <c r="I22" s="503">
        <f>ROUND(+(I$17+I$20)*G22,2)</f>
        <v>250.49</v>
      </c>
      <c r="J22" s="176"/>
      <c r="K22" s="176"/>
      <c r="L22" s="176"/>
      <c r="M22" s="176"/>
      <c r="N22" s="169"/>
      <c r="O22" s="22"/>
    </row>
    <row r="23" spans="2:15" ht="13.5" customHeight="1" x14ac:dyDescent="0.25">
      <c r="B23" s="18"/>
      <c r="C23" s="162"/>
      <c r="D23" s="165" t="s">
        <v>95</v>
      </c>
      <c r="E23" s="167"/>
      <c r="F23" s="371"/>
      <c r="G23" s="498" t="str">
        <f>IF(J13=100,"j","n")</f>
        <v>n</v>
      </c>
      <c r="H23" s="190"/>
      <c r="I23" s="503">
        <f>IF(G23="j",VLOOKUP(I13,eindejaarsuitkering_OOP,2,TRUE)*I16/12,0)</f>
        <v>0</v>
      </c>
      <c r="J23" s="176"/>
      <c r="K23" s="176"/>
      <c r="L23" s="176"/>
      <c r="M23" s="176"/>
      <c r="N23" s="169"/>
      <c r="O23" s="22"/>
    </row>
    <row r="24" spans="2:15" ht="13.5" customHeight="1" x14ac:dyDescent="0.25">
      <c r="B24" s="18"/>
      <c r="C24" s="162"/>
      <c r="D24" s="165" t="s">
        <v>214</v>
      </c>
      <c r="E24" s="167"/>
      <c r="F24" s="371"/>
      <c r="G24" s="189" t="str">
        <f>IF(OR(I13="DA",I13="DB",I13="DBuit",I13="DC",I13="DCuit",MID(I13,1,5)="meerh"),"j","n")</f>
        <v>n</v>
      </c>
      <c r="H24" s="190"/>
      <c r="I24" s="503">
        <f>ROUND(IF(G24="j",tabellen!D152*IF(I16&gt;1,1,I16),0),2)</f>
        <v>0</v>
      </c>
      <c r="J24" s="176"/>
      <c r="K24" s="176"/>
      <c r="L24" s="176"/>
      <c r="M24" s="176"/>
      <c r="N24" s="169"/>
      <c r="O24" s="22"/>
    </row>
    <row r="25" spans="2:15" ht="13.5" customHeight="1" x14ac:dyDescent="0.25">
      <c r="B25" s="18"/>
      <c r="C25" s="162"/>
      <c r="D25" s="530" t="s">
        <v>359</v>
      </c>
      <c r="E25" s="167"/>
      <c r="F25" s="371"/>
      <c r="G25" s="531"/>
      <c r="H25" s="190"/>
      <c r="I25" s="503">
        <f>I16*tabellen!C140/12</f>
        <v>72.916666666666671</v>
      </c>
      <c r="J25" s="176"/>
      <c r="K25" s="176"/>
      <c r="L25" s="176"/>
      <c r="M25" s="176"/>
      <c r="N25" s="169"/>
      <c r="O25" s="22"/>
    </row>
    <row r="26" spans="2:15" ht="13.5" customHeight="1" x14ac:dyDescent="0.25">
      <c r="B26" s="18"/>
      <c r="C26" s="162"/>
      <c r="D26" s="530" t="s">
        <v>360</v>
      </c>
      <c r="E26" s="167"/>
      <c r="F26" s="371"/>
      <c r="G26" s="531"/>
      <c r="H26" s="190"/>
      <c r="I26" s="506">
        <f>I17*tabellen!C141/12</f>
        <v>109.34000000000002</v>
      </c>
      <c r="J26" s="176"/>
      <c r="K26" s="176"/>
      <c r="L26" s="176"/>
      <c r="M26" s="176"/>
      <c r="N26" s="169"/>
      <c r="O26" s="22"/>
    </row>
    <row r="27" spans="2:15" ht="13.5" customHeight="1" x14ac:dyDescent="0.25">
      <c r="B27" s="18"/>
      <c r="C27" s="162"/>
      <c r="D27" s="441" t="s">
        <v>334</v>
      </c>
      <c r="E27" s="178"/>
      <c r="F27" s="440"/>
      <c r="G27" s="502"/>
      <c r="H27" s="197"/>
      <c r="I27" s="503">
        <f>ROUND(I16*tabellen!D150,2)/12</f>
        <v>16.666666666666668</v>
      </c>
      <c r="J27" s="176"/>
      <c r="K27" s="176"/>
      <c r="L27" s="176"/>
      <c r="M27" s="176"/>
      <c r="N27" s="169"/>
      <c r="O27" s="22"/>
    </row>
    <row r="28" spans="2:15" ht="13.5" customHeight="1" x14ac:dyDescent="0.25">
      <c r="B28" s="18"/>
      <c r="C28" s="162"/>
      <c r="D28" s="200" t="s">
        <v>193</v>
      </c>
      <c r="E28" s="201"/>
      <c r="F28" s="200"/>
      <c r="G28" s="200"/>
      <c r="H28" s="202"/>
      <c r="I28" s="504">
        <f>IF(I10&lt;1950,0,+(I17+I20)*tabellen!C138)</f>
        <v>31.808</v>
      </c>
      <c r="J28" s="176"/>
      <c r="K28" s="176"/>
      <c r="L28" s="176"/>
      <c r="M28" s="176"/>
      <c r="N28" s="169"/>
      <c r="O28" s="22"/>
    </row>
    <row r="29" spans="2:15" ht="13.5" customHeight="1" x14ac:dyDescent="0.25">
      <c r="B29" s="18"/>
      <c r="C29" s="162"/>
      <c r="D29" s="200" t="s">
        <v>361</v>
      </c>
      <c r="E29" s="201"/>
      <c r="F29" s="200"/>
      <c r="G29" s="200"/>
      <c r="H29" s="202"/>
      <c r="I29" s="532">
        <f>SUM(I20:I28)</f>
        <v>799.30133333333322</v>
      </c>
      <c r="J29" s="176"/>
      <c r="K29" s="176"/>
      <c r="L29" s="176"/>
      <c r="M29" s="176"/>
      <c r="N29" s="169"/>
      <c r="O29" s="22"/>
    </row>
    <row r="30" spans="2:15" s="2" customFormat="1" ht="13.5" customHeight="1" x14ac:dyDescent="0.25">
      <c r="B30" s="27"/>
      <c r="C30" s="170"/>
      <c r="D30" s="178" t="s">
        <v>362</v>
      </c>
      <c r="E30" s="178"/>
      <c r="F30" s="191"/>
      <c r="G30" s="192"/>
      <c r="H30" s="192"/>
      <c r="I30" s="505">
        <f>+I17+SUM(I20:I28)</f>
        <v>4775.3013333333329</v>
      </c>
      <c r="J30" s="194"/>
      <c r="K30" s="194"/>
      <c r="L30" s="194"/>
      <c r="M30" s="194"/>
      <c r="N30" s="195"/>
      <c r="O30" s="31"/>
    </row>
    <row r="31" spans="2:15" ht="13.5" customHeight="1" x14ac:dyDescent="0.25">
      <c r="B31" s="18"/>
      <c r="C31" s="162"/>
      <c r="D31" s="178"/>
      <c r="E31" s="167"/>
      <c r="F31" s="165"/>
      <c r="G31" s="166"/>
      <c r="H31" s="166"/>
      <c r="I31" s="196"/>
      <c r="J31" s="176"/>
      <c r="K31" s="176"/>
      <c r="L31" s="176"/>
      <c r="M31" s="176"/>
      <c r="N31" s="169"/>
      <c r="O31" s="22"/>
    </row>
    <row r="32" spans="2:15" ht="13.5" customHeight="1" x14ac:dyDescent="0.25">
      <c r="B32" s="18"/>
      <c r="C32" s="162"/>
      <c r="D32" s="167" t="s">
        <v>33</v>
      </c>
      <c r="E32" s="178"/>
      <c r="F32" s="165"/>
      <c r="G32" s="166"/>
      <c r="H32" s="166"/>
      <c r="I32" s="503">
        <f>+I30*12</f>
        <v>57303.615999999995</v>
      </c>
      <c r="J32" s="176"/>
      <c r="K32" s="176"/>
      <c r="L32" s="176"/>
      <c r="M32" s="176"/>
      <c r="N32" s="169"/>
      <c r="O32" s="22"/>
    </row>
    <row r="33" spans="2:15" ht="13.5" customHeight="1" x14ac:dyDescent="0.25">
      <c r="B33" s="18"/>
      <c r="C33" s="162"/>
      <c r="D33" s="240"/>
      <c r="E33" s="167"/>
      <c r="F33" s="165"/>
      <c r="G33" s="159"/>
      <c r="H33" s="166"/>
      <c r="I33" s="505">
        <f>ROUND(I32,0)</f>
        <v>57304</v>
      </c>
      <c r="J33" s="176"/>
      <c r="K33" s="176"/>
      <c r="L33" s="176"/>
      <c r="M33" s="176"/>
      <c r="N33" s="169"/>
      <c r="O33" s="22"/>
    </row>
    <row r="34" spans="2:15" ht="13.5" customHeight="1" x14ac:dyDescent="0.25">
      <c r="B34" s="18"/>
      <c r="C34" s="162"/>
      <c r="D34" s="178"/>
      <c r="E34" s="167"/>
      <c r="F34" s="165"/>
      <c r="G34" s="166"/>
      <c r="H34" s="166"/>
      <c r="I34" s="198"/>
      <c r="J34" s="176"/>
      <c r="K34" s="176"/>
      <c r="L34" s="176"/>
      <c r="M34" s="176"/>
      <c r="N34" s="169"/>
      <c r="O34" s="22"/>
    </row>
    <row r="35" spans="2:15" ht="13.5" customHeight="1" x14ac:dyDescent="0.25">
      <c r="B35" s="18"/>
      <c r="C35" s="162"/>
      <c r="D35" s="178" t="s">
        <v>53</v>
      </c>
      <c r="E35" s="167"/>
      <c r="F35" s="165"/>
      <c r="G35" s="166"/>
      <c r="H35" s="166"/>
      <c r="I35" s="505">
        <f>ROUND(I33-(I25+I26+I28)*12,0)</f>
        <v>54735</v>
      </c>
      <c r="J35" s="176"/>
      <c r="K35" s="176"/>
      <c r="L35" s="176"/>
      <c r="M35" s="176"/>
      <c r="N35" s="169"/>
      <c r="O35" s="22"/>
    </row>
    <row r="36" spans="2:15" ht="13.5" customHeight="1" x14ac:dyDescent="0.25">
      <c r="B36" s="18"/>
      <c r="C36" s="206"/>
      <c r="D36" s="207"/>
      <c r="E36" s="208"/>
      <c r="F36" s="209"/>
      <c r="G36" s="210"/>
      <c r="H36" s="210"/>
      <c r="I36" s="211"/>
      <c r="J36" s="212"/>
      <c r="K36" s="212"/>
      <c r="L36" s="212"/>
      <c r="M36" s="212"/>
      <c r="N36" s="213"/>
      <c r="O36" s="32"/>
    </row>
    <row r="37" spans="2:15" s="8" customFormat="1" ht="13.5" customHeight="1" x14ac:dyDescent="0.25">
      <c r="B37" s="34"/>
      <c r="C37" s="214"/>
      <c r="D37" s="163" t="s">
        <v>56</v>
      </c>
      <c r="E37" s="215"/>
      <c r="F37" s="216"/>
      <c r="G37" s="217"/>
      <c r="H37" s="217"/>
      <c r="I37" s="180" t="s">
        <v>54</v>
      </c>
      <c r="J37" s="180" t="s">
        <v>55</v>
      </c>
      <c r="K37" s="218"/>
      <c r="L37" s="219" t="s">
        <v>263</v>
      </c>
      <c r="M37" s="218" t="s">
        <v>222</v>
      </c>
      <c r="N37" s="220"/>
      <c r="O37" s="40"/>
    </row>
    <row r="38" spans="2:15" ht="13.5" customHeight="1" x14ac:dyDescent="0.25">
      <c r="B38" s="18"/>
      <c r="C38" s="162"/>
      <c r="D38" s="201" t="s">
        <v>338</v>
      </c>
      <c r="E38" s="167"/>
      <c r="F38" s="165"/>
      <c r="G38" s="166"/>
      <c r="H38" s="166"/>
      <c r="I38" s="221"/>
      <c r="J38" s="221"/>
      <c r="K38" s="192"/>
      <c r="L38" s="222">
        <f>I35</f>
        <v>54735</v>
      </c>
      <c r="M38" s="223">
        <f>12*I17</f>
        <v>47712</v>
      </c>
      <c r="N38" s="169"/>
      <c r="O38" s="36"/>
    </row>
    <row r="39" spans="2:15" ht="13.5" customHeight="1" x14ac:dyDescent="0.25">
      <c r="B39" s="18"/>
      <c r="C39" s="162"/>
      <c r="D39" s="167" t="s">
        <v>34</v>
      </c>
      <c r="E39" s="167"/>
      <c r="F39" s="165"/>
      <c r="G39" s="166"/>
      <c r="H39" s="166"/>
      <c r="I39" s="503">
        <f>IF($I$35/$I$16&lt;tabellen!E107,0,($I$35-tabellen!E107*$I$16)/12)*tabellen!$C107</f>
        <v>588.77087500000005</v>
      </c>
      <c r="J39" s="503">
        <f>IF($I$35/$I$16&lt;tabellen!E107,0,(+$I$35-tabellen!E107*$I$16))*tabellen!$C107</f>
        <v>7065.2505000000001</v>
      </c>
      <c r="K39" s="181"/>
      <c r="L39" s="224">
        <f t="shared" ref="L39:L44" si="0">+J39/L$38</f>
        <v>0.12908103590024664</v>
      </c>
      <c r="M39" s="224">
        <f t="shared" ref="M39:M48" si="1">+J39/(12*I$17)</f>
        <v>0.14808120598591548</v>
      </c>
      <c r="N39" s="169"/>
      <c r="O39" s="36"/>
    </row>
    <row r="40" spans="2:15" ht="13.5" customHeight="1" x14ac:dyDescent="0.25">
      <c r="B40" s="18"/>
      <c r="C40" s="162"/>
      <c r="D40" s="167" t="s">
        <v>201</v>
      </c>
      <c r="E40" s="167"/>
      <c r="F40" s="165"/>
      <c r="G40" s="166"/>
      <c r="H40" s="166"/>
      <c r="I40" s="503">
        <f>IF($I$35/$I$16&lt;tabellen!E108,0,(+$I$35-tabellen!E108*$I$16)/12)*tabellen!$C108</f>
        <v>17.500875000000001</v>
      </c>
      <c r="J40" s="503">
        <f>IF($I$35/$I$16&lt;tabellen!E108,0,(+$I$35-tabellen!E108*$I$16))*tabellen!$C108</f>
        <v>210.01050000000001</v>
      </c>
      <c r="K40" s="181"/>
      <c r="L40" s="224">
        <f t="shared" si="0"/>
        <v>3.8368594135379558E-3</v>
      </c>
      <c r="M40" s="224">
        <f t="shared" si="1"/>
        <v>4.401628521126761E-3</v>
      </c>
      <c r="N40" s="169"/>
      <c r="O40" s="36"/>
    </row>
    <row r="41" spans="2:15" ht="13.5" customHeight="1" x14ac:dyDescent="0.25">
      <c r="B41" s="18"/>
      <c r="C41" s="162"/>
      <c r="D41" s="420" t="s">
        <v>336</v>
      </c>
      <c r="E41" s="167"/>
      <c r="F41" s="442"/>
      <c r="G41" s="165"/>
      <c r="H41" s="166"/>
      <c r="I41" s="503">
        <f>$I$35/12*tabellen!$C109</f>
        <v>118.5925</v>
      </c>
      <c r="J41" s="503">
        <f>$I$35*tabellen!$C109</f>
        <v>1423.11</v>
      </c>
      <c r="K41" s="181"/>
      <c r="L41" s="224">
        <f t="shared" si="0"/>
        <v>2.5999999999999999E-2</v>
      </c>
      <c r="M41" s="224">
        <f>+J41/(12*I$17)</f>
        <v>2.9827087525150904E-2</v>
      </c>
      <c r="N41" s="169"/>
      <c r="O41" s="36"/>
    </row>
    <row r="42" spans="2:15" ht="13.5" customHeight="1" x14ac:dyDescent="0.25">
      <c r="B42" s="18"/>
      <c r="C42" s="162"/>
      <c r="D42" s="435" t="s">
        <v>197</v>
      </c>
      <c r="E42" s="435"/>
      <c r="F42" s="165"/>
      <c r="G42" s="166"/>
      <c r="H42" s="166"/>
      <c r="I42" s="506">
        <f>J42/12</f>
        <v>382.46306880833339</v>
      </c>
      <c r="J42" s="503">
        <f>IF($J$65&gt;tabellen!$G$110,tabellen!$G$110,$J$65)*(tabellen!$C110+tabellen!$C111)</f>
        <v>4589.5568257000004</v>
      </c>
      <c r="K42" s="181"/>
      <c r="L42" s="224">
        <f t="shared" si="0"/>
        <v>8.3850494668859063E-2</v>
      </c>
      <c r="M42" s="224">
        <f t="shared" si="1"/>
        <v>9.619292475058687E-2</v>
      </c>
      <c r="N42" s="169"/>
      <c r="O42" s="36"/>
    </row>
    <row r="43" spans="2:15" ht="13.5" customHeight="1" x14ac:dyDescent="0.25">
      <c r="B43" s="18"/>
      <c r="C43" s="162"/>
      <c r="D43" s="420" t="s">
        <v>271</v>
      </c>
      <c r="E43" s="420"/>
      <c r="F43" s="165"/>
      <c r="G43" s="166"/>
      <c r="H43" s="166"/>
      <c r="I43" s="503">
        <f>J43/12</f>
        <v>302.53833333333336</v>
      </c>
      <c r="J43" s="503">
        <f>ROUND(IF($J$65&gt;tabellen!G112,tabellen!G112,$J$65)*tabellen!C112,2)</f>
        <v>3630.46</v>
      </c>
      <c r="K43" s="181"/>
      <c r="L43" s="224">
        <f t="shared" si="0"/>
        <v>6.6327943728875488E-2</v>
      </c>
      <c r="M43" s="224">
        <f t="shared" si="1"/>
        <v>7.6091130114017441E-2</v>
      </c>
      <c r="N43" s="169"/>
      <c r="O43" s="36"/>
    </row>
    <row r="44" spans="2:15" ht="13.5" customHeight="1" x14ac:dyDescent="0.25">
      <c r="B44" s="18"/>
      <c r="C44" s="162"/>
      <c r="D44" s="167" t="s">
        <v>49</v>
      </c>
      <c r="E44" s="167"/>
      <c r="F44" s="165"/>
      <c r="G44" s="166"/>
      <c r="H44" s="166"/>
      <c r="I44" s="503">
        <f>IF($I$65&gt;tabellen!$G$113*$I$16/12,tabellen!$G$113*$I$16/12,$I$65)*tabellen!$C113</f>
        <v>30.705417566666661</v>
      </c>
      <c r="J44" s="503">
        <f>IF($J$65&gt;tabellen!$G$113*$I$16,tabellen!$G$113*$I$16,$J$65)*tabellen!$C113</f>
        <v>368.46501080000002</v>
      </c>
      <c r="K44" s="181"/>
      <c r="L44" s="224">
        <f t="shared" si="0"/>
        <v>6.7317988636156024E-3</v>
      </c>
      <c r="M44" s="224">
        <f t="shared" si="1"/>
        <v>7.7226905348759221E-3</v>
      </c>
      <c r="N44" s="169"/>
      <c r="O44" s="36"/>
    </row>
    <row r="45" spans="2:15" ht="13.5" customHeight="1" x14ac:dyDescent="0.25">
      <c r="B45" s="18"/>
      <c r="C45" s="162"/>
      <c r="D45" s="167"/>
      <c r="E45" s="167"/>
      <c r="F45" s="165"/>
      <c r="G45" s="166"/>
      <c r="H45" s="166"/>
      <c r="I45" s="507">
        <f>SUM(I39:I44)</f>
        <v>1440.5710697083334</v>
      </c>
      <c r="J45" s="507">
        <f>SUM(J39:J44)</f>
        <v>17286.852836499998</v>
      </c>
      <c r="K45" s="181"/>
      <c r="L45" s="501">
        <f>SUM(L39:L44)</f>
        <v>0.3158281325751347</v>
      </c>
      <c r="M45" s="501">
        <f>SUM(M39:M44)</f>
        <v>0.3623166674316734</v>
      </c>
      <c r="N45" s="169"/>
      <c r="O45" s="36"/>
    </row>
    <row r="46" spans="2:15" ht="13.5" customHeight="1" x14ac:dyDescent="0.25">
      <c r="B46" s="18"/>
      <c r="C46" s="162"/>
      <c r="D46" s="201" t="s">
        <v>337</v>
      </c>
      <c r="E46" s="167"/>
      <c r="F46" s="165"/>
      <c r="G46" s="166"/>
      <c r="H46" s="166"/>
      <c r="I46" s="499"/>
      <c r="J46" s="499"/>
      <c r="K46" s="181"/>
      <c r="L46" s="500"/>
      <c r="M46" s="500"/>
      <c r="N46" s="169"/>
      <c r="O46" s="36"/>
    </row>
    <row r="47" spans="2:15" ht="13.5" customHeight="1" x14ac:dyDescent="0.25">
      <c r="B47" s="18"/>
      <c r="C47" s="162"/>
      <c r="D47" s="167" t="s">
        <v>50</v>
      </c>
      <c r="E47" s="167"/>
      <c r="F47" s="165"/>
      <c r="G47" s="533">
        <v>1</v>
      </c>
      <c r="H47" s="187"/>
      <c r="I47" s="503">
        <f>(I17+I21)*IF(G47=1,tabellen!$C114,IF(G47=2,tabellen!$C115,IF(G47=3,tabellen!C116,IF(G47=4,tabellen!C117,IF(G47=5,tabellen!B123,IF(G47=6,tabellen!B124,IF(G47=7,tabellen!B125,IF(G47=8,tabellen!B126))))))))</f>
        <v>261.93887999999998</v>
      </c>
      <c r="J47" s="503">
        <f>I47*12</f>
        <v>3143.26656</v>
      </c>
      <c r="K47" s="181"/>
      <c r="L47" s="224">
        <f>+J47/L$38</f>
        <v>5.7426994793094002E-2</v>
      </c>
      <c r="M47" s="224">
        <f t="shared" si="1"/>
        <v>6.5879999999999994E-2</v>
      </c>
      <c r="N47" s="169"/>
      <c r="O47" s="36"/>
    </row>
    <row r="48" spans="2:15" ht="13.5" customHeight="1" x14ac:dyDescent="0.25">
      <c r="B48" s="18"/>
      <c r="C48" s="162"/>
      <c r="D48" s="167" t="s">
        <v>51</v>
      </c>
      <c r="E48" s="167"/>
      <c r="F48" s="165"/>
      <c r="G48" s="166"/>
      <c r="H48" s="166"/>
      <c r="I48" s="503">
        <f>(I17+I21)*tabellen!$C118</f>
        <v>180.35136</v>
      </c>
      <c r="J48" s="503">
        <f>I48*12</f>
        <v>2164.21632</v>
      </c>
      <c r="K48" s="181"/>
      <c r="L48" s="224">
        <f>+J48/L$38</f>
        <v>3.9539898054261439E-2</v>
      </c>
      <c r="M48" s="224">
        <f t="shared" si="1"/>
        <v>4.5359999999999998E-2</v>
      </c>
      <c r="N48" s="169"/>
      <c r="O48" s="36"/>
    </row>
    <row r="49" spans="2:16" ht="13.5" customHeight="1" x14ac:dyDescent="0.25">
      <c r="B49" s="18"/>
      <c r="C49" s="162"/>
      <c r="D49" s="420" t="s">
        <v>297</v>
      </c>
      <c r="E49" s="420"/>
      <c r="F49" s="165"/>
      <c r="G49" s="166"/>
      <c r="H49" s="166"/>
      <c r="I49" s="508">
        <f>J49/12</f>
        <v>0</v>
      </c>
      <c r="J49" s="509">
        <v>0</v>
      </c>
      <c r="K49" s="181"/>
      <c r="L49" s="224">
        <f>+J49/L$38</f>
        <v>0</v>
      </c>
      <c r="M49" s="224">
        <f t="shared" ref="M49" si="2">+J49/(12*I$17)</f>
        <v>0</v>
      </c>
      <c r="N49" s="169"/>
      <c r="O49" s="36"/>
    </row>
    <row r="50" spans="2:16" ht="13.5" customHeight="1" x14ac:dyDescent="0.25">
      <c r="B50" s="18"/>
      <c r="C50" s="162"/>
      <c r="D50" s="225"/>
      <c r="E50" s="167"/>
      <c r="F50" s="165"/>
      <c r="G50" s="166"/>
      <c r="H50" s="166"/>
      <c r="I50" s="507">
        <f>SUM(I47:I49)</f>
        <v>442.29023999999998</v>
      </c>
      <c r="J50" s="507">
        <f>SUM(J47:J49)</f>
        <v>5307.4828799999996</v>
      </c>
      <c r="K50" s="181"/>
      <c r="L50" s="226"/>
      <c r="M50" s="226"/>
      <c r="N50" s="169"/>
      <c r="O50" s="36"/>
    </row>
    <row r="51" spans="2:16" ht="13.5" customHeight="1" x14ac:dyDescent="0.25">
      <c r="B51" s="18"/>
      <c r="C51" s="162"/>
      <c r="D51" s="225"/>
      <c r="E51" s="167"/>
      <c r="F51" s="165"/>
      <c r="G51" s="166"/>
      <c r="H51" s="166"/>
      <c r="I51" s="196"/>
      <c r="J51" s="196"/>
      <c r="K51" s="181"/>
      <c r="L51" s="226"/>
      <c r="M51" s="226"/>
      <c r="N51" s="169"/>
      <c r="O51" s="36"/>
    </row>
    <row r="52" spans="2:16" s="2" customFormat="1" ht="13.5" customHeight="1" x14ac:dyDescent="0.25">
      <c r="B52" s="27"/>
      <c r="C52" s="170"/>
      <c r="D52" s="178" t="s">
        <v>52</v>
      </c>
      <c r="E52" s="178"/>
      <c r="F52" s="191"/>
      <c r="G52" s="192"/>
      <c r="H52" s="192"/>
      <c r="I52" s="505">
        <f>I45+I50</f>
        <v>1882.8613097083335</v>
      </c>
      <c r="J52" s="505">
        <f>J45+J50</f>
        <v>22594.335716499998</v>
      </c>
      <c r="K52" s="193"/>
      <c r="L52" s="228">
        <f>+J52/L$38</f>
        <v>0.41279502542249014</v>
      </c>
      <c r="M52" s="228">
        <f>(I30+I52)/I17-1</f>
        <v>0.67458818989981539</v>
      </c>
      <c r="N52" s="195"/>
      <c r="O52" s="37"/>
      <c r="P52" s="417"/>
    </row>
    <row r="53" spans="2:16" ht="13.5" customHeight="1" x14ac:dyDescent="0.25">
      <c r="B53" s="18"/>
      <c r="C53" s="162"/>
      <c r="D53" s="196"/>
      <c r="E53" s="178"/>
      <c r="F53" s="165"/>
      <c r="G53" s="166"/>
      <c r="H53" s="166"/>
      <c r="I53" s="229"/>
      <c r="J53" s="229"/>
      <c r="K53" s="230"/>
      <c r="L53" s="231"/>
      <c r="M53" s="231"/>
      <c r="N53" s="169"/>
      <c r="O53" s="36"/>
    </row>
    <row r="54" spans="2:16" s="142" customFormat="1" ht="13.5" customHeight="1" x14ac:dyDescent="0.25">
      <c r="B54" s="140"/>
      <c r="C54" s="232"/>
      <c r="D54" s="233" t="s">
        <v>339</v>
      </c>
      <c r="E54" s="233"/>
      <c r="F54" s="234"/>
      <c r="G54" s="235"/>
      <c r="H54" s="235"/>
      <c r="I54" s="535">
        <f>(I30+I52)/I17-1</f>
        <v>0.67458818989981539</v>
      </c>
      <c r="J54" s="536"/>
      <c r="K54" s="236"/>
      <c r="L54" s="236"/>
      <c r="M54" s="236"/>
      <c r="N54" s="237"/>
      <c r="O54" s="141"/>
    </row>
    <row r="55" spans="2:16" ht="13.5" customHeight="1" x14ac:dyDescent="0.25">
      <c r="B55" s="18"/>
      <c r="C55" s="206"/>
      <c r="D55" s="207"/>
      <c r="E55" s="207"/>
      <c r="F55" s="209"/>
      <c r="G55" s="210"/>
      <c r="H55" s="210"/>
      <c r="I55" s="238"/>
      <c r="J55" s="238"/>
      <c r="K55" s="207"/>
      <c r="L55" s="207"/>
      <c r="M55" s="207"/>
      <c r="N55" s="239"/>
      <c r="O55" s="36"/>
    </row>
    <row r="56" spans="2:16" ht="13.5" customHeight="1" x14ac:dyDescent="0.25">
      <c r="B56" s="18"/>
      <c r="C56" s="214"/>
      <c r="D56" s="163" t="s">
        <v>277</v>
      </c>
      <c r="E56" s="215"/>
      <c r="F56" s="216"/>
      <c r="G56" s="217"/>
      <c r="H56" s="217"/>
      <c r="I56" s="241" t="s">
        <v>54</v>
      </c>
      <c r="J56" s="218" t="s">
        <v>55</v>
      </c>
      <c r="K56" s="218"/>
      <c r="L56" s="176"/>
      <c r="M56" s="215"/>
      <c r="N56" s="220"/>
      <c r="O56" s="36"/>
    </row>
    <row r="57" spans="2:16" ht="13.5" customHeight="1" x14ac:dyDescent="0.25">
      <c r="B57" s="18"/>
      <c r="C57" s="162"/>
      <c r="D57" s="178"/>
      <c r="E57" s="167"/>
      <c r="F57" s="165"/>
      <c r="G57" s="166"/>
      <c r="H57" s="166"/>
      <c r="I57" s="242"/>
      <c r="J57" s="178"/>
      <c r="K57" s="167"/>
      <c r="L57" s="176"/>
      <c r="M57" s="167"/>
      <c r="N57" s="169"/>
      <c r="O57" s="36"/>
    </row>
    <row r="58" spans="2:16" ht="13.5" customHeight="1" x14ac:dyDescent="0.25">
      <c r="B58" s="18"/>
      <c r="C58" s="170"/>
      <c r="D58" s="243" t="s">
        <v>42</v>
      </c>
      <c r="E58" s="178" t="s">
        <v>53</v>
      </c>
      <c r="F58" s="191"/>
      <c r="G58" s="192"/>
      <c r="H58" s="192"/>
      <c r="I58" s="510">
        <f>+I35/12</f>
        <v>4561.25</v>
      </c>
      <c r="J58" s="510">
        <f>+I35</f>
        <v>54735</v>
      </c>
      <c r="K58" s="178"/>
      <c r="L58" s="194"/>
      <c r="M58" s="178"/>
      <c r="N58" s="195"/>
      <c r="O58" s="36"/>
    </row>
    <row r="59" spans="2:16" ht="13.5" customHeight="1" x14ac:dyDescent="0.25">
      <c r="B59" s="18"/>
      <c r="C59" s="170"/>
      <c r="D59" s="243"/>
      <c r="E59" s="178"/>
      <c r="F59" s="191"/>
      <c r="G59" s="192"/>
      <c r="H59" s="192"/>
      <c r="I59" s="227"/>
      <c r="J59" s="227"/>
      <c r="K59" s="178"/>
      <c r="L59" s="194"/>
      <c r="M59" s="178"/>
      <c r="N59" s="195"/>
      <c r="O59" s="36"/>
    </row>
    <row r="60" spans="2:16" ht="13.5" customHeight="1" x14ac:dyDescent="0.25">
      <c r="B60" s="18"/>
      <c r="C60" s="199"/>
      <c r="D60" s="244" t="s">
        <v>43</v>
      </c>
      <c r="E60" s="201" t="s">
        <v>34</v>
      </c>
      <c r="F60" s="200"/>
      <c r="G60" s="202"/>
      <c r="H60" s="245"/>
      <c r="I60" s="534">
        <f>IF($I$35/$I$16&lt;tabellen!E107,0,(+$I$35-tabellen!E107*I16)/12*tabellen!$D107)</f>
        <v>252.330375</v>
      </c>
      <c r="J60" s="534">
        <f>IF($I$35/$I$16&lt;tabellen!E107,0,(+$I$35-tabellen!E107*I16)*tabellen!$D107)</f>
        <v>3027.9645</v>
      </c>
      <c r="K60" s="203"/>
      <c r="L60" s="204"/>
      <c r="M60" s="201"/>
      <c r="N60" s="205"/>
      <c r="O60" s="36"/>
    </row>
    <row r="61" spans="2:16" ht="13.5" customHeight="1" x14ac:dyDescent="0.25">
      <c r="B61" s="18"/>
      <c r="C61" s="199"/>
      <c r="D61" s="244" t="s">
        <v>44</v>
      </c>
      <c r="E61" s="201" t="s">
        <v>201</v>
      </c>
      <c r="F61" s="200"/>
      <c r="G61" s="202"/>
      <c r="H61" s="245"/>
      <c r="I61" s="534">
        <f>IF($I$35/$I$16&lt;tabellen!E108,0,(+$I$35-tabellen!E108*$I$16)/12*tabellen!$D108)</f>
        <v>7.500375</v>
      </c>
      <c r="J61" s="534">
        <f>IF($I$35/$I$16&lt;tabellen!E108,0,(+$I$35-tabellen!E108*$I$16)*tabellen!$D108)</f>
        <v>90.004500000000007</v>
      </c>
      <c r="K61" s="203"/>
      <c r="L61" s="204"/>
      <c r="M61" s="246"/>
      <c r="N61" s="205"/>
      <c r="O61" s="36"/>
    </row>
    <row r="62" spans="2:16" ht="13.5" customHeight="1" x14ac:dyDescent="0.25">
      <c r="B62" s="18"/>
      <c r="C62" s="199"/>
      <c r="D62" s="244" t="s">
        <v>45</v>
      </c>
      <c r="E62" s="201" t="s">
        <v>37</v>
      </c>
      <c r="F62" s="200" t="s">
        <v>239</v>
      </c>
      <c r="G62" s="202"/>
      <c r="H62" s="245"/>
      <c r="I62" s="534">
        <f>$I$35/12*tabellen!$D109</f>
        <v>0</v>
      </c>
      <c r="J62" s="534">
        <f>$I$35*tabellen!$D109</f>
        <v>0</v>
      </c>
      <c r="K62" s="203"/>
      <c r="L62" s="204"/>
      <c r="M62" s="201"/>
      <c r="N62" s="205"/>
      <c r="O62" s="36"/>
    </row>
    <row r="63" spans="2:16" ht="13.5" customHeight="1" x14ac:dyDescent="0.25">
      <c r="B63" s="18"/>
      <c r="C63" s="247"/>
      <c r="D63" s="248" t="s">
        <v>46</v>
      </c>
      <c r="E63" s="249" t="s">
        <v>40</v>
      </c>
      <c r="F63" s="250"/>
      <c r="G63" s="251"/>
      <c r="H63" s="252"/>
      <c r="I63" s="511">
        <f>SUM(I60:I62)</f>
        <v>259.83075000000002</v>
      </c>
      <c r="J63" s="511">
        <f>SUM(J60:J62)</f>
        <v>3117.9690000000001</v>
      </c>
      <c r="K63" s="253"/>
      <c r="L63" s="254"/>
      <c r="M63" s="249"/>
      <c r="N63" s="255"/>
      <c r="O63" s="36"/>
    </row>
    <row r="64" spans="2:16" ht="13.5" customHeight="1" x14ac:dyDescent="0.25">
      <c r="B64" s="18"/>
      <c r="C64" s="247"/>
      <c r="D64" s="248"/>
      <c r="E64" s="249"/>
      <c r="F64" s="250"/>
      <c r="G64" s="251"/>
      <c r="H64" s="252"/>
      <c r="I64" s="256"/>
      <c r="J64" s="256"/>
      <c r="K64" s="253"/>
      <c r="L64" s="254"/>
      <c r="M64" s="249"/>
      <c r="N64" s="255"/>
      <c r="O64" s="36"/>
    </row>
    <row r="65" spans="2:15" ht="13.5" customHeight="1" x14ac:dyDescent="0.25">
      <c r="B65" s="18"/>
      <c r="C65" s="170"/>
      <c r="D65" s="243" t="s">
        <v>47</v>
      </c>
      <c r="E65" s="178" t="s">
        <v>322</v>
      </c>
      <c r="F65" s="191"/>
      <c r="G65" s="192"/>
      <c r="H65" s="192"/>
      <c r="I65" s="505">
        <f>+I33/12-I63</f>
        <v>4515.502583333333</v>
      </c>
      <c r="J65" s="505">
        <f>+I33-J63</f>
        <v>54186.031000000003</v>
      </c>
      <c r="K65" s="178"/>
      <c r="L65" s="194"/>
      <c r="M65" s="178"/>
      <c r="N65" s="195"/>
      <c r="O65" s="36"/>
    </row>
    <row r="66" spans="2:15" ht="13.5" customHeight="1" x14ac:dyDescent="0.25">
      <c r="B66" s="18"/>
      <c r="C66" s="170"/>
      <c r="D66" s="463" t="s">
        <v>324</v>
      </c>
      <c r="E66" s="420" t="s">
        <v>325</v>
      </c>
      <c r="F66" s="191"/>
      <c r="G66" s="192"/>
      <c r="H66" s="192"/>
      <c r="I66" s="512">
        <f>I43</f>
        <v>302.53833333333336</v>
      </c>
      <c r="J66" s="512">
        <f>J43</f>
        <v>3630.46</v>
      </c>
      <c r="K66" s="178"/>
      <c r="L66" s="194"/>
      <c r="M66" s="178"/>
      <c r="N66" s="195"/>
      <c r="O66" s="36"/>
    </row>
    <row r="67" spans="2:15" ht="13.5" customHeight="1" x14ac:dyDescent="0.25">
      <c r="B67" s="18"/>
      <c r="C67" s="170"/>
      <c r="D67" s="243" t="s">
        <v>326</v>
      </c>
      <c r="E67" s="178" t="s">
        <v>84</v>
      </c>
      <c r="F67" s="191"/>
      <c r="G67" s="192"/>
      <c r="H67" s="192"/>
      <c r="I67" s="513">
        <f>SUM(I65:I66)</f>
        <v>4818.0409166666659</v>
      </c>
      <c r="J67" s="513">
        <f>SUM(J65:J66)</f>
        <v>57816.491000000002</v>
      </c>
      <c r="K67" s="178"/>
      <c r="L67" s="194"/>
      <c r="M67" s="178"/>
      <c r="N67" s="195"/>
      <c r="O67" s="36"/>
    </row>
    <row r="68" spans="2:15" ht="13.5" customHeight="1" x14ac:dyDescent="0.25">
      <c r="B68" s="18"/>
      <c r="C68" s="162"/>
      <c r="D68" s="257" t="s">
        <v>48</v>
      </c>
      <c r="E68" s="167" t="s">
        <v>243</v>
      </c>
      <c r="F68" s="165"/>
      <c r="G68" s="166"/>
      <c r="H68" s="166"/>
      <c r="I68" s="503">
        <f>+I76</f>
        <v>1811.0429225833336</v>
      </c>
      <c r="J68" s="503">
        <f>+J76</f>
        <v>21732.515071000002</v>
      </c>
      <c r="K68" s="167"/>
      <c r="L68" s="176"/>
      <c r="M68" s="167"/>
      <c r="N68" s="169"/>
      <c r="O68" s="36"/>
    </row>
    <row r="69" spans="2:15" ht="13.5" customHeight="1" x14ac:dyDescent="0.25">
      <c r="B69" s="18"/>
      <c r="C69" s="170"/>
      <c r="D69" s="243" t="s">
        <v>83</v>
      </c>
      <c r="E69" s="178" t="s">
        <v>323</v>
      </c>
      <c r="F69" s="191"/>
      <c r="G69" s="192"/>
      <c r="H69" s="192"/>
      <c r="I69" s="505">
        <f>+I67-I68</f>
        <v>3006.9979940833323</v>
      </c>
      <c r="J69" s="505">
        <f>+J67-J68</f>
        <v>36083.975929</v>
      </c>
      <c r="K69" s="178"/>
      <c r="L69" s="194"/>
      <c r="M69" s="178"/>
      <c r="N69" s="195"/>
      <c r="O69" s="36"/>
    </row>
    <row r="70" spans="2:15" ht="13.5" customHeight="1" x14ac:dyDescent="0.25">
      <c r="B70" s="18"/>
      <c r="C70" s="258"/>
      <c r="D70" s="259"/>
      <c r="E70" s="207"/>
      <c r="F70" s="209"/>
      <c r="G70" s="210"/>
      <c r="H70" s="210"/>
      <c r="I70" s="238"/>
      <c r="J70" s="238"/>
      <c r="K70" s="207"/>
      <c r="L70" s="207"/>
      <c r="M70" s="207"/>
      <c r="N70" s="239"/>
      <c r="O70" s="36"/>
    </row>
    <row r="71" spans="2:15" ht="13.5" customHeight="1" x14ac:dyDescent="0.25">
      <c r="B71" s="18"/>
      <c r="C71" s="260"/>
      <c r="D71" s="163" t="s">
        <v>244</v>
      </c>
      <c r="E71" s="167"/>
      <c r="F71" s="165"/>
      <c r="G71" s="166"/>
      <c r="H71" s="166"/>
      <c r="I71" s="241" t="s">
        <v>54</v>
      </c>
      <c r="J71" s="218" t="s">
        <v>55</v>
      </c>
      <c r="K71" s="167"/>
      <c r="L71" s="167"/>
      <c r="M71" s="167"/>
      <c r="N71" s="169"/>
      <c r="O71" s="36"/>
    </row>
    <row r="72" spans="2:15" ht="13.5" customHeight="1" x14ac:dyDescent="0.25">
      <c r="B72" s="18"/>
      <c r="C72" s="162"/>
      <c r="D72" s="167" t="s">
        <v>90</v>
      </c>
      <c r="E72" s="167"/>
      <c r="F72" s="514">
        <f>IF(J67&gt;tabellen!B160,tabellen!B160,J67)</f>
        <v>20384</v>
      </c>
      <c r="G72" s="409">
        <f>+tabellen!C160</f>
        <v>0.36649999999999999</v>
      </c>
      <c r="H72" s="190"/>
      <c r="I72" s="503">
        <f>+F72*G72/12</f>
        <v>622.56133333333332</v>
      </c>
      <c r="J72" s="503">
        <f>+F72*G72</f>
        <v>7470.7359999999999</v>
      </c>
      <c r="K72" s="167"/>
      <c r="L72" s="167"/>
      <c r="M72" s="167"/>
      <c r="N72" s="169"/>
      <c r="O72" s="39"/>
    </row>
    <row r="73" spans="2:15" ht="13.5" customHeight="1" x14ac:dyDescent="0.25">
      <c r="B73" s="18"/>
      <c r="C73" s="162"/>
      <c r="D73" s="167" t="s">
        <v>91</v>
      </c>
      <c r="E73" s="167"/>
      <c r="F73" s="514">
        <f>IF((IF(J67&gt;tabellen!B161,tabellen!B161,J67)-tabellen!B160)&lt;0,0,IF(J67&gt;tabellen!B161,tabellen!B161,J67)-tabellen!B160)</f>
        <v>13916</v>
      </c>
      <c r="G73" s="409">
        <f>+tabellen!C161</f>
        <v>0.38100000000000001</v>
      </c>
      <c r="H73" s="190"/>
      <c r="I73" s="503">
        <f>+F73*G73/12</f>
        <v>441.83300000000003</v>
      </c>
      <c r="J73" s="503">
        <f>+F73*G73</f>
        <v>5301.9960000000001</v>
      </c>
      <c r="K73" s="167"/>
      <c r="L73" s="167"/>
      <c r="M73" s="167"/>
      <c r="N73" s="169"/>
      <c r="O73" s="22"/>
    </row>
    <row r="74" spans="2:15" ht="13.5" customHeight="1" x14ac:dyDescent="0.25">
      <c r="B74" s="18"/>
      <c r="C74" s="162"/>
      <c r="D74" s="167" t="s">
        <v>92</v>
      </c>
      <c r="E74" s="167"/>
      <c r="F74" s="514">
        <f>IF((IF(J67&gt;tabellen!B162,tabellen!B162,J67)-tabellen!B161)&lt;0,0,IF(J67&gt;tabellen!B162,tabellen!B162,J67)-tabellen!B161)</f>
        <v>23516.491000000002</v>
      </c>
      <c r="G74" s="409">
        <f>+tabellen!C162</f>
        <v>0.38100000000000001</v>
      </c>
      <c r="H74" s="188"/>
      <c r="I74" s="503">
        <f>+F74*G74/12</f>
        <v>746.6485892500001</v>
      </c>
      <c r="J74" s="503">
        <f>+F74*G74</f>
        <v>8959.7830710000017</v>
      </c>
      <c r="K74" s="167"/>
      <c r="L74" s="167"/>
      <c r="M74" s="196"/>
      <c r="N74" s="169"/>
      <c r="O74" s="22"/>
    </row>
    <row r="75" spans="2:15" ht="13.5" customHeight="1" x14ac:dyDescent="0.25">
      <c r="B75" s="18"/>
      <c r="C75" s="162"/>
      <c r="D75" s="167" t="s">
        <v>93</v>
      </c>
      <c r="E75" s="167"/>
      <c r="F75" s="514">
        <f>IF((IF(J67&gt;tabellen!B163,tabellen!B163,J67)-tabellen!B162)&lt;0,0,IF(J67&gt;tabellen!B163,tabellen!B163,J67)-tabellen!B162)</f>
        <v>0</v>
      </c>
      <c r="G75" s="409">
        <f>+tabellen!C163</f>
        <v>0.51749999999999996</v>
      </c>
      <c r="H75" s="188"/>
      <c r="I75" s="503">
        <f>+F75*G75/12</f>
        <v>0</v>
      </c>
      <c r="J75" s="503">
        <f>+F75*G75</f>
        <v>0</v>
      </c>
      <c r="K75" s="167"/>
      <c r="L75" s="167"/>
      <c r="M75" s="167"/>
      <c r="N75" s="169"/>
      <c r="O75" s="22"/>
    </row>
    <row r="76" spans="2:15" s="2" customFormat="1" ht="13.5" customHeight="1" x14ac:dyDescent="0.25">
      <c r="B76" s="27"/>
      <c r="C76" s="170"/>
      <c r="D76" s="191"/>
      <c r="E76" s="178"/>
      <c r="F76" s="515">
        <f>SUM(F72:F75)</f>
        <v>57816.491000000002</v>
      </c>
      <c r="G76" s="261"/>
      <c r="H76" s="192"/>
      <c r="I76" s="505">
        <f>SUM(I72:I75)</f>
        <v>1811.0429225833336</v>
      </c>
      <c r="J76" s="505">
        <f>SUM(J72:J75)</f>
        <v>21732.515071000002</v>
      </c>
      <c r="K76" s="193"/>
      <c r="L76" s="178"/>
      <c r="M76" s="178"/>
      <c r="N76" s="195"/>
      <c r="O76" s="31"/>
    </row>
    <row r="77" spans="2:15" ht="13.5" customHeight="1" x14ac:dyDescent="0.25">
      <c r="B77" s="18"/>
      <c r="C77" s="25"/>
      <c r="D77" s="25"/>
      <c r="E77" s="25"/>
      <c r="F77" s="400"/>
      <c r="G77" s="26"/>
      <c r="H77" s="26"/>
      <c r="I77" s="401"/>
      <c r="J77" s="401"/>
      <c r="K77" s="25"/>
      <c r="L77" s="402"/>
      <c r="M77" s="25"/>
      <c r="N77" s="25"/>
      <c r="O77" s="22"/>
    </row>
    <row r="78" spans="2:15" ht="13.5" customHeight="1" x14ac:dyDescent="0.25">
      <c r="B78" s="18"/>
      <c r="C78" s="19"/>
      <c r="D78" s="19"/>
      <c r="E78" s="19"/>
      <c r="F78" s="20"/>
      <c r="G78" s="21"/>
      <c r="H78" s="21"/>
      <c r="I78" s="41"/>
      <c r="J78" s="41"/>
      <c r="K78" s="41"/>
      <c r="L78" s="41"/>
      <c r="M78" s="19"/>
      <c r="N78" s="19"/>
      <c r="O78" s="22"/>
    </row>
    <row r="79" spans="2:15" ht="13.5" customHeight="1" x14ac:dyDescent="0.25">
      <c r="B79" s="18"/>
      <c r="C79" s="19"/>
      <c r="D79" s="19"/>
      <c r="E79" s="19"/>
      <c r="F79" s="20"/>
      <c r="G79" s="21"/>
      <c r="H79" s="21"/>
      <c r="I79" s="41"/>
      <c r="J79" s="41"/>
      <c r="K79" s="41"/>
      <c r="L79" s="41"/>
      <c r="M79" s="19"/>
      <c r="N79" s="19"/>
      <c r="O79" s="22"/>
    </row>
    <row r="80" spans="2:15" ht="13.5" customHeight="1" x14ac:dyDescent="0.25">
      <c r="B80" s="9"/>
      <c r="C80" s="10"/>
      <c r="D80" s="11"/>
      <c r="E80" s="10"/>
      <c r="F80" s="12"/>
      <c r="G80" s="10"/>
      <c r="H80" s="10"/>
      <c r="I80" s="10"/>
      <c r="J80" s="10"/>
      <c r="K80" s="10"/>
      <c r="L80" s="10"/>
      <c r="M80" s="10"/>
      <c r="N80" s="426" t="s">
        <v>276</v>
      </c>
      <c r="O80" s="42"/>
    </row>
    <row r="101" spans="2:17" ht="13.5" customHeight="1" x14ac:dyDescent="0.25">
      <c r="Q101" s="43" t="s">
        <v>78</v>
      </c>
    </row>
    <row r="102" spans="2:17" ht="13.5" customHeight="1" x14ac:dyDescent="0.25">
      <c r="Q102" s="43" t="s">
        <v>74</v>
      </c>
    </row>
    <row r="103" spans="2:17" ht="13.5" customHeight="1" x14ac:dyDescent="0.25">
      <c r="B103" s="447" t="s">
        <v>300</v>
      </c>
      <c r="Q103" s="43" t="s">
        <v>75</v>
      </c>
    </row>
    <row r="104" spans="2:17" ht="13.5" customHeight="1" x14ac:dyDescent="0.25">
      <c r="Q104" s="43" t="s">
        <v>76</v>
      </c>
    </row>
    <row r="105" spans="2:17" ht="13.5" customHeight="1" x14ac:dyDescent="0.25">
      <c r="Q105" s="43" t="s">
        <v>77</v>
      </c>
    </row>
    <row r="106" spans="2:17" ht="13.5" customHeight="1" x14ac:dyDescent="0.25">
      <c r="Q106" s="48" t="s">
        <v>2</v>
      </c>
    </row>
    <row r="107" spans="2:17" ht="13.5" customHeight="1" x14ac:dyDescent="0.25">
      <c r="Q107" s="48" t="s">
        <v>3</v>
      </c>
    </row>
    <row r="108" spans="2:17" ht="13.5" customHeight="1" x14ac:dyDescent="0.25">
      <c r="Q108" s="48" t="s">
        <v>4</v>
      </c>
    </row>
    <row r="109" spans="2:17" ht="13.5" customHeight="1" x14ac:dyDescent="0.25">
      <c r="Q109" s="48" t="s">
        <v>5</v>
      </c>
    </row>
    <row r="110" spans="2:17" ht="13.5" customHeight="1" x14ac:dyDescent="0.25">
      <c r="Q110" s="48" t="s">
        <v>6</v>
      </c>
    </row>
    <row r="111" spans="2:17" ht="13.5" customHeight="1" x14ac:dyDescent="0.25">
      <c r="Q111" s="48" t="s">
        <v>7</v>
      </c>
    </row>
    <row r="112" spans="2:17" ht="13.5" customHeight="1" x14ac:dyDescent="0.25">
      <c r="Q112" s="48" t="s">
        <v>8</v>
      </c>
    </row>
    <row r="113" spans="17:17" ht="13.5" customHeight="1" x14ac:dyDescent="0.25">
      <c r="Q113" s="48" t="s">
        <v>10</v>
      </c>
    </row>
    <row r="114" spans="17:17" ht="13.5" customHeight="1" x14ac:dyDescent="0.25">
      <c r="Q114" s="48" t="s">
        <v>11</v>
      </c>
    </row>
    <row r="115" spans="17:17" ht="13.5" customHeight="1" x14ac:dyDescent="0.25">
      <c r="Q115" s="48" t="s">
        <v>12</v>
      </c>
    </row>
    <row r="116" spans="17:17" ht="13.5" customHeight="1" x14ac:dyDescent="0.25">
      <c r="Q116" s="48" t="s">
        <v>13</v>
      </c>
    </row>
    <row r="117" spans="17:17" ht="13.5" customHeight="1" x14ac:dyDescent="0.25">
      <c r="Q117" s="495" t="s">
        <v>327</v>
      </c>
    </row>
    <row r="118" spans="17:17" ht="13.5" customHeight="1" x14ac:dyDescent="0.25">
      <c r="Q118" s="495" t="s">
        <v>328</v>
      </c>
    </row>
    <row r="119" spans="17:17" ht="13.5" customHeight="1" x14ac:dyDescent="0.25">
      <c r="Q119" s="495" t="s">
        <v>329</v>
      </c>
    </row>
    <row r="120" spans="17:17" ht="13.5" customHeight="1" x14ac:dyDescent="0.25">
      <c r="Q120" s="430" t="s">
        <v>330</v>
      </c>
    </row>
    <row r="121" spans="17:17" ht="13.5" customHeight="1" x14ac:dyDescent="0.25">
      <c r="Q121" s="495" t="s">
        <v>331</v>
      </c>
    </row>
    <row r="122" spans="17:17" ht="13.5" customHeight="1" x14ac:dyDescent="0.25">
      <c r="Q122" s="43">
        <v>1</v>
      </c>
    </row>
    <row r="123" spans="17:17" ht="13.5" customHeight="1" x14ac:dyDescent="0.25">
      <c r="Q123" s="43">
        <v>2</v>
      </c>
    </row>
    <row r="124" spans="17:17" ht="13.5" customHeight="1" x14ac:dyDescent="0.25">
      <c r="Q124" s="43">
        <v>3</v>
      </c>
    </row>
    <row r="125" spans="17:17" ht="13.5" customHeight="1" x14ac:dyDescent="0.25">
      <c r="Q125" s="43">
        <v>4</v>
      </c>
    </row>
    <row r="126" spans="17:17" ht="13.5" customHeight="1" x14ac:dyDescent="0.25">
      <c r="Q126" s="43">
        <v>5</v>
      </c>
    </row>
    <row r="127" spans="17:17" ht="13.5" customHeight="1" x14ac:dyDescent="0.25">
      <c r="Q127" s="43">
        <v>6</v>
      </c>
    </row>
    <row r="128" spans="17:17" ht="13.5" customHeight="1" x14ac:dyDescent="0.25">
      <c r="Q128" s="43">
        <v>7</v>
      </c>
    </row>
    <row r="129" spans="17:17" ht="13.5" customHeight="1" x14ac:dyDescent="0.25">
      <c r="Q129" s="43">
        <v>8</v>
      </c>
    </row>
    <row r="130" spans="17:17" ht="13.5" customHeight="1" x14ac:dyDescent="0.25">
      <c r="Q130" s="43">
        <v>9</v>
      </c>
    </row>
    <row r="131" spans="17:17" ht="13.5" customHeight="1" x14ac:dyDescent="0.25">
      <c r="Q131" s="43">
        <v>10</v>
      </c>
    </row>
    <row r="132" spans="17:17" ht="13.5" customHeight="1" x14ac:dyDescent="0.25">
      <c r="Q132" s="43">
        <v>11</v>
      </c>
    </row>
    <row r="133" spans="17:17" ht="13.5" customHeight="1" x14ac:dyDescent="0.25">
      <c r="Q133" s="43">
        <v>12</v>
      </c>
    </row>
    <row r="134" spans="17:17" ht="13.5" customHeight="1" x14ac:dyDescent="0.25">
      <c r="Q134" s="43">
        <v>13</v>
      </c>
    </row>
    <row r="135" spans="17:17" ht="13.5" customHeight="1" x14ac:dyDescent="0.25">
      <c r="Q135" s="43">
        <v>14</v>
      </c>
    </row>
    <row r="136" spans="17:17" ht="13.5" customHeight="1" x14ac:dyDescent="0.25">
      <c r="Q136" s="43">
        <v>15</v>
      </c>
    </row>
    <row r="137" spans="17:17" ht="13.5" customHeight="1" x14ac:dyDescent="0.25">
      <c r="Q137" s="43">
        <v>16</v>
      </c>
    </row>
    <row r="138" spans="17:17" ht="13.5" customHeight="1" x14ac:dyDescent="0.25">
      <c r="Q138" s="43" t="s">
        <v>14</v>
      </c>
    </row>
    <row r="139" spans="17:17" ht="13.5" customHeight="1" x14ac:dyDescent="0.25">
      <c r="Q139" s="43" t="s">
        <v>15</v>
      </c>
    </row>
    <row r="140" spans="17:17" ht="13.5" customHeight="1" x14ac:dyDescent="0.25">
      <c r="Q140" s="43" t="s">
        <v>79</v>
      </c>
    </row>
    <row r="141" spans="17:17" ht="13.5" customHeight="1" x14ac:dyDescent="0.25">
      <c r="Q141" s="43" t="s">
        <v>80</v>
      </c>
    </row>
    <row r="142" spans="17:17" ht="13.5" customHeight="1" x14ac:dyDescent="0.25">
      <c r="Q142" s="43" t="s">
        <v>81</v>
      </c>
    </row>
    <row r="143" spans="17:17" ht="13.5" customHeight="1" x14ac:dyDescent="0.25">
      <c r="Q143" s="143"/>
    </row>
    <row r="144" spans="17:17" ht="13.5" customHeight="1" x14ac:dyDescent="0.25">
      <c r="Q144" s="143"/>
    </row>
    <row r="145" spans="17:17" ht="13.5" customHeight="1" x14ac:dyDescent="0.25">
      <c r="Q145" s="143"/>
    </row>
    <row r="146" spans="17:17" ht="13.5" customHeight="1" x14ac:dyDescent="0.25">
      <c r="Q146" s="143"/>
    </row>
  </sheetData>
  <sheetProtection algorithmName="SHA-512" hashValue="HFuNUSCa6AsGg2Qoupyph7aTXfMad3ye4f0yaiv7u9aQWRtnRqtvq5Uc1bXiTB8zqBexEj5AtBX3m2qLdcYDIQ==" saltValue="LqWBUPEu8sam7/2HQG8iwg==" spinCount="100000" sheet="1" objects="1" scenarios="1"/>
  <mergeCells count="1">
    <mergeCell ref="I54:J54"/>
  </mergeCells>
  <phoneticPr fontId="0" type="noConversion"/>
  <dataValidations count="5">
    <dataValidation type="list" allowBlank="1" showInputMessage="1" showErrorMessage="1" sqref="H47">
      <formula1>"1,2,3"</formula1>
    </dataValidation>
    <dataValidation type="list" allowBlank="1" showInputMessage="1" showErrorMessage="1" sqref="G20">
      <formula1>"j,n"</formula1>
    </dataValidation>
    <dataValidation type="list" allowBlank="1" showInputMessage="1" showErrorMessage="1" sqref="H20">
      <formula1>#REF!</formula1>
    </dataValidation>
    <dataValidation type="list" allowBlank="1" showInputMessage="1" showErrorMessage="1" sqref="I13">
      <formula1>$Q$101:$Q$142</formula1>
    </dataValidation>
    <dataValidation type="list" allowBlank="1" showInputMessage="1" showErrorMessage="1" sqref="G47">
      <formula1>"1,2,3,4,5,6,7,8"</formula1>
    </dataValidation>
  </dataValidations>
  <hyperlinks>
    <hyperlink ref="N80"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3"/>
  <sheetViews>
    <sheetView zoomScale="85" zoomScaleNormal="85" workbookViewId="0">
      <selection activeCell="B2" sqref="B2"/>
    </sheetView>
  </sheetViews>
  <sheetFormatPr defaultRowHeight="13.5" customHeight="1" x14ac:dyDescent="0.25"/>
  <cols>
    <col min="1" max="1" width="3.7109375" style="3" customWidth="1"/>
    <col min="2" max="3" width="2.7109375" style="3" customWidth="1"/>
    <col min="4" max="4" width="35.7109375" style="3" customWidth="1"/>
    <col min="5" max="6" width="12.85546875" style="3" customWidth="1"/>
    <col min="7" max="7" width="14.85546875" style="3" customWidth="1"/>
    <col min="8" max="10" width="12.85546875" style="3" customWidth="1"/>
    <col min="11" max="11" width="2.7109375" style="149" customWidth="1"/>
    <col min="12" max="12" width="2.28515625" style="3" customWidth="1"/>
    <col min="13" max="16384" width="9.140625" style="3"/>
  </cols>
  <sheetData>
    <row r="2" spans="2:13" ht="13.5" customHeight="1" x14ac:dyDescent="0.25">
      <c r="B2" s="63"/>
      <c r="C2" s="64"/>
      <c r="D2" s="64"/>
      <c r="E2" s="64"/>
      <c r="F2" s="64"/>
      <c r="G2" s="64"/>
      <c r="H2" s="64"/>
      <c r="I2" s="64"/>
      <c r="J2" s="64"/>
      <c r="K2" s="145"/>
      <c r="L2" s="65"/>
    </row>
    <row r="3" spans="2:13" ht="13.5" customHeight="1" x14ac:dyDescent="0.25">
      <c r="B3" s="66"/>
      <c r="C3" s="23"/>
      <c r="D3" s="23"/>
      <c r="E3" s="23"/>
      <c r="F3" s="23"/>
      <c r="G3" s="23"/>
      <c r="H3" s="23"/>
      <c r="I3" s="23"/>
      <c r="J3" s="23"/>
      <c r="K3" s="146"/>
      <c r="L3" s="32"/>
    </row>
    <row r="4" spans="2:13" s="95" customFormat="1" ht="18" customHeight="1" x14ac:dyDescent="0.3">
      <c r="B4" s="92"/>
      <c r="C4" s="93" t="s">
        <v>225</v>
      </c>
      <c r="D4" s="93"/>
      <c r="E4" s="93"/>
      <c r="F4" s="93"/>
      <c r="G4" s="379" t="str">
        <f>tabellen!B3</f>
        <v>2019/2020</v>
      </c>
      <c r="H4" s="370"/>
      <c r="I4" s="93"/>
      <c r="J4" s="93"/>
      <c r="K4" s="147"/>
      <c r="L4" s="94"/>
    </row>
    <row r="5" spans="2:13" ht="13.5" customHeight="1" x14ac:dyDescent="0.25">
      <c r="B5" s="66"/>
      <c r="C5" s="23"/>
      <c r="D5" s="23"/>
      <c r="E5" s="23"/>
      <c r="F5" s="23"/>
      <c r="G5" s="23"/>
      <c r="H5" s="23"/>
      <c r="I5" s="23"/>
      <c r="J5" s="23"/>
      <c r="K5" s="146"/>
      <c r="L5" s="32"/>
    </row>
    <row r="6" spans="2:13" ht="13.5" customHeight="1" x14ac:dyDescent="0.25">
      <c r="B6" s="66"/>
      <c r="C6" s="23"/>
      <c r="D6" s="23"/>
      <c r="E6" s="23"/>
      <c r="F6" s="23"/>
      <c r="G6" s="23"/>
      <c r="H6" s="23"/>
      <c r="I6" s="23"/>
      <c r="J6" s="23"/>
      <c r="K6" s="146"/>
      <c r="L6" s="32"/>
    </row>
    <row r="7" spans="2:13" ht="13.5" customHeight="1" x14ac:dyDescent="0.25">
      <c r="B7" s="66"/>
      <c r="C7" s="262"/>
      <c r="D7" s="160"/>
      <c r="E7" s="160"/>
      <c r="F7" s="160"/>
      <c r="G7" s="160"/>
      <c r="H7" s="160"/>
      <c r="I7" s="160"/>
      <c r="J7" s="160"/>
      <c r="K7" s="263"/>
      <c r="L7" s="32"/>
    </row>
    <row r="8" spans="2:13" ht="13.5" customHeight="1" x14ac:dyDescent="0.25">
      <c r="B8" s="66"/>
      <c r="C8" s="264"/>
      <c r="D8" s="265" t="s">
        <v>231</v>
      </c>
      <c r="E8" s="168"/>
      <c r="F8" s="168"/>
      <c r="G8" s="168"/>
      <c r="H8" s="168"/>
      <c r="I8" s="168"/>
      <c r="J8" s="168"/>
      <c r="K8" s="266"/>
      <c r="L8" s="32"/>
    </row>
    <row r="9" spans="2:13" ht="13.5" customHeight="1" x14ac:dyDescent="0.25">
      <c r="B9" s="66"/>
      <c r="C9" s="264"/>
      <c r="D9" s="168"/>
      <c r="E9" s="168"/>
      <c r="F9" s="168"/>
      <c r="G9" s="168"/>
      <c r="H9" s="168"/>
      <c r="I9" s="168"/>
      <c r="J9" s="168"/>
      <c r="K9" s="266"/>
      <c r="L9" s="32"/>
    </row>
    <row r="10" spans="2:13" ht="13.5" customHeight="1" x14ac:dyDescent="0.25">
      <c r="B10" s="66"/>
      <c r="C10" s="264"/>
      <c r="D10" s="168" t="s">
        <v>103</v>
      </c>
      <c r="E10" s="168"/>
      <c r="F10" s="168"/>
      <c r="G10" s="168"/>
      <c r="H10" s="186" t="s">
        <v>104</v>
      </c>
      <c r="I10" s="267"/>
      <c r="J10" s="268"/>
      <c r="K10" s="266"/>
      <c r="L10" s="32"/>
    </row>
    <row r="11" spans="2:13" ht="13.5" customHeight="1" x14ac:dyDescent="0.25">
      <c r="B11" s="66"/>
      <c r="C11" s="264"/>
      <c r="D11" s="168"/>
      <c r="E11" s="168"/>
      <c r="F11" s="168"/>
      <c r="G11" s="269"/>
      <c r="H11" s="269"/>
      <c r="I11" s="268"/>
      <c r="J11" s="268"/>
      <c r="K11" s="266"/>
      <c r="L11" s="32"/>
    </row>
    <row r="12" spans="2:13" s="59" customFormat="1" ht="13.5" customHeight="1" x14ac:dyDescent="0.25">
      <c r="B12" s="68"/>
      <c r="C12" s="270"/>
      <c r="D12" s="271" t="s">
        <v>18</v>
      </c>
      <c r="E12" s="271"/>
      <c r="F12" s="271"/>
      <c r="G12" s="271"/>
      <c r="H12" s="271"/>
      <c r="I12" s="271"/>
      <c r="J12" s="271"/>
      <c r="K12" s="272"/>
      <c r="L12" s="35"/>
    </row>
    <row r="13" spans="2:13" ht="13.5" customHeight="1" x14ac:dyDescent="0.25">
      <c r="B13" s="66"/>
      <c r="C13" s="264"/>
      <c r="D13" s="167" t="s">
        <v>16</v>
      </c>
      <c r="E13" s="168"/>
      <c r="F13" s="168"/>
      <c r="G13" s="187"/>
      <c r="H13" s="174" t="s">
        <v>328</v>
      </c>
      <c r="I13" s="273"/>
      <c r="J13" s="168"/>
      <c r="K13" s="266"/>
      <c r="L13" s="32"/>
    </row>
    <row r="14" spans="2:13" ht="13.5" customHeight="1" x14ac:dyDescent="0.25">
      <c r="B14" s="66"/>
      <c r="C14" s="264"/>
      <c r="D14" s="168" t="s">
        <v>17</v>
      </c>
      <c r="E14" s="168"/>
      <c r="F14" s="168"/>
      <c r="G14" s="187"/>
      <c r="H14" s="174">
        <v>8</v>
      </c>
      <c r="I14" s="168"/>
      <c r="J14" s="168"/>
      <c r="K14" s="266"/>
      <c r="L14" s="32"/>
      <c r="M14" s="38"/>
    </row>
    <row r="15" spans="2:13" ht="13.5" customHeight="1" x14ac:dyDescent="0.25">
      <c r="B15" s="66"/>
      <c r="C15" s="264"/>
      <c r="D15" s="168" t="s">
        <v>19</v>
      </c>
      <c r="E15" s="168"/>
      <c r="F15" s="168"/>
      <c r="G15" s="274"/>
      <c r="H15" s="275">
        <f>VLOOKUP(H13,salaris2020,H14+1,FALSE)</f>
        <v>3481</v>
      </c>
      <c r="I15" s="168"/>
      <c r="J15" s="168"/>
      <c r="K15" s="266"/>
      <c r="L15" s="32"/>
      <c r="M15" s="38"/>
    </row>
    <row r="16" spans="2:13" ht="13.5" customHeight="1" x14ac:dyDescent="0.25">
      <c r="B16" s="66"/>
      <c r="C16" s="264"/>
      <c r="D16" s="168" t="s">
        <v>20</v>
      </c>
      <c r="E16" s="168"/>
      <c r="F16" s="168"/>
      <c r="G16" s="185"/>
      <c r="H16" s="184">
        <v>1</v>
      </c>
      <c r="I16" s="168"/>
      <c r="J16" s="168"/>
      <c r="K16" s="266"/>
      <c r="L16" s="32"/>
      <c r="M16" s="38"/>
    </row>
    <row r="17" spans="2:13" ht="13.5" customHeight="1" x14ac:dyDescent="0.25">
      <c r="B17" s="66"/>
      <c r="C17" s="264"/>
      <c r="D17" s="168" t="s">
        <v>21</v>
      </c>
      <c r="E17" s="168"/>
      <c r="F17" s="168"/>
      <c r="G17" s="276"/>
      <c r="H17" s="277">
        <f>+H15*H16</f>
        <v>3481</v>
      </c>
      <c r="I17" s="168"/>
      <c r="J17" s="168"/>
      <c r="K17" s="266"/>
      <c r="L17" s="32"/>
      <c r="M17" s="38"/>
    </row>
    <row r="18" spans="2:13" ht="13.5" customHeight="1" x14ac:dyDescent="0.25">
      <c r="B18" s="66"/>
      <c r="C18" s="278"/>
      <c r="D18" s="279"/>
      <c r="E18" s="279"/>
      <c r="F18" s="279"/>
      <c r="G18" s="280"/>
      <c r="H18" s="280"/>
      <c r="I18" s="279"/>
      <c r="J18" s="279"/>
      <c r="K18" s="281"/>
      <c r="L18" s="32"/>
      <c r="M18" s="38"/>
    </row>
    <row r="19" spans="2:13" ht="13.5" customHeight="1" x14ac:dyDescent="0.25">
      <c r="B19" s="66"/>
      <c r="C19" s="23"/>
      <c r="D19" s="23"/>
      <c r="E19" s="23"/>
      <c r="F19" s="23"/>
      <c r="G19" s="23"/>
      <c r="H19" s="23"/>
      <c r="I19" s="23"/>
      <c r="J19" s="23"/>
      <c r="K19" s="146"/>
      <c r="L19" s="32"/>
      <c r="M19" s="38"/>
    </row>
    <row r="20" spans="2:13" ht="13.5" customHeight="1" x14ac:dyDescent="0.25">
      <c r="B20" s="66"/>
      <c r="C20" s="262"/>
      <c r="D20" s="160"/>
      <c r="E20" s="160"/>
      <c r="F20" s="160"/>
      <c r="G20" s="160"/>
      <c r="H20" s="160"/>
      <c r="I20" s="160"/>
      <c r="J20" s="160"/>
      <c r="K20" s="263"/>
      <c r="L20" s="32"/>
      <c r="M20" s="38"/>
    </row>
    <row r="21" spans="2:13" s="59" customFormat="1" ht="13.5" customHeight="1" x14ac:dyDescent="0.25">
      <c r="B21" s="68"/>
      <c r="C21" s="270"/>
      <c r="D21" s="265" t="s">
        <v>107</v>
      </c>
      <c r="E21" s="265"/>
      <c r="F21" s="265"/>
      <c r="G21" s="282"/>
      <c r="H21" s="282" t="s">
        <v>108</v>
      </c>
      <c r="I21" s="282" t="s">
        <v>109</v>
      </c>
      <c r="J21" s="283"/>
      <c r="K21" s="284"/>
      <c r="L21" s="35"/>
      <c r="M21" s="61"/>
    </row>
    <row r="22" spans="2:13" ht="13.5" customHeight="1" x14ac:dyDescent="0.25">
      <c r="B22" s="66"/>
      <c r="C22" s="264"/>
      <c r="D22" s="285"/>
      <c r="E22" s="285"/>
      <c r="F22" s="285"/>
      <c r="G22" s="286"/>
      <c r="H22" s="286"/>
      <c r="I22" s="286"/>
      <c r="J22" s="197"/>
      <c r="K22" s="287"/>
      <c r="L22" s="32"/>
      <c r="M22" s="38"/>
    </row>
    <row r="23" spans="2:13" ht="13.5" customHeight="1" x14ac:dyDescent="0.25">
      <c r="B23" s="66"/>
      <c r="C23" s="264"/>
      <c r="D23" s="168" t="s">
        <v>106</v>
      </c>
      <c r="E23" s="168"/>
      <c r="F23" s="168"/>
      <c r="G23" s="187"/>
      <c r="H23" s="174" t="s">
        <v>102</v>
      </c>
      <c r="I23" s="286"/>
      <c r="J23" s="197"/>
      <c r="K23" s="287"/>
      <c r="L23" s="32"/>
      <c r="M23" s="38"/>
    </row>
    <row r="24" spans="2:13" ht="13.5" customHeight="1" x14ac:dyDescent="0.25">
      <c r="B24" s="66"/>
      <c r="C24" s="264"/>
      <c r="D24" s="285"/>
      <c r="E24" s="285"/>
      <c r="F24" s="285"/>
      <c r="G24" s="286"/>
      <c r="H24" s="286"/>
      <c r="I24" s="286"/>
      <c r="J24" s="197"/>
      <c r="K24" s="287"/>
      <c r="L24" s="32"/>
      <c r="M24" s="38"/>
    </row>
    <row r="25" spans="2:13" ht="13.5" customHeight="1" x14ac:dyDescent="0.25">
      <c r="B25" s="66"/>
      <c r="C25" s="264"/>
      <c r="D25" s="168" t="s">
        <v>110</v>
      </c>
      <c r="E25" s="168"/>
      <c r="F25" s="168"/>
      <c r="G25" s="197"/>
      <c r="H25" s="288">
        <f>ROUND(415*H16,0)</f>
        <v>415</v>
      </c>
      <c r="I25" s="289">
        <f>ROUND(233*H16,0)</f>
        <v>233</v>
      </c>
      <c r="J25" s="166"/>
      <c r="K25" s="287"/>
      <c r="L25" s="22"/>
      <c r="M25" s="38"/>
    </row>
    <row r="26" spans="2:13" ht="13.5" customHeight="1" x14ac:dyDescent="0.25">
      <c r="B26" s="66"/>
      <c r="C26" s="264"/>
      <c r="D26" s="168" t="s">
        <v>111</v>
      </c>
      <c r="E26" s="168"/>
      <c r="F26" s="168"/>
      <c r="G26" s="187"/>
      <c r="H26" s="174">
        <v>415</v>
      </c>
      <c r="I26" s="290">
        <v>233</v>
      </c>
      <c r="J26" s="166"/>
      <c r="K26" s="287"/>
      <c r="L26" s="22"/>
      <c r="M26" s="38"/>
    </row>
    <row r="27" spans="2:13" ht="13.5" customHeight="1" x14ac:dyDescent="0.25">
      <c r="B27" s="66"/>
      <c r="C27" s="264"/>
      <c r="D27" s="168" t="s">
        <v>112</v>
      </c>
      <c r="E27" s="168"/>
      <c r="F27" s="168"/>
      <c r="G27" s="291"/>
      <c r="H27" s="292">
        <f>+H26/H25</f>
        <v>1</v>
      </c>
      <c r="I27" s="292">
        <f>+I26/I25</f>
        <v>1</v>
      </c>
      <c r="J27" s="166"/>
      <c r="K27" s="287"/>
      <c r="L27" s="22"/>
      <c r="M27" s="38"/>
    </row>
    <row r="28" spans="2:13" ht="13.5" customHeight="1" x14ac:dyDescent="0.25">
      <c r="B28" s="66"/>
      <c r="C28" s="264"/>
      <c r="D28" s="168" t="s">
        <v>113</v>
      </c>
      <c r="E28" s="168"/>
      <c r="F28" s="168"/>
      <c r="G28" s="187"/>
      <c r="H28" s="174">
        <v>6</v>
      </c>
      <c r="I28" s="293" t="str">
        <f>IF(H28&lt;2.999,"moet minimaal 3 gehele maanden zijn"," ")</f>
        <v xml:space="preserve"> </v>
      </c>
      <c r="J28" s="166"/>
      <c r="K28" s="287"/>
      <c r="L28" s="22"/>
      <c r="M28" s="38"/>
    </row>
    <row r="29" spans="2:13" ht="13.5" customHeight="1" x14ac:dyDescent="0.25">
      <c r="B29" s="66"/>
      <c r="C29" s="264"/>
      <c r="D29" s="168"/>
      <c r="E29" s="168"/>
      <c r="F29" s="168"/>
      <c r="G29" s="197"/>
      <c r="H29" s="197"/>
      <c r="I29" s="197"/>
      <c r="J29" s="166"/>
      <c r="K29" s="294"/>
      <c r="L29" s="22"/>
      <c r="M29" s="38"/>
    </row>
    <row r="30" spans="2:13" ht="13.5" customHeight="1" x14ac:dyDescent="0.25">
      <c r="B30" s="66"/>
      <c r="C30" s="264"/>
      <c r="D30" s="168" t="s">
        <v>114</v>
      </c>
      <c r="E30" s="168"/>
      <c r="F30" s="168"/>
      <c r="G30" s="291"/>
      <c r="H30" s="291">
        <f>ROUND(+IF(H23="ja",I26,H26)/ROUND((IF(H23="ja",233,415)*H16),0)*1.35/H28,4)</f>
        <v>0.22500000000000001</v>
      </c>
      <c r="I30" s="197"/>
      <c r="J30" s="296">
        <f>+H30*H17</f>
        <v>783.22500000000002</v>
      </c>
      <c r="K30" s="297"/>
      <c r="L30" s="32"/>
    </row>
    <row r="31" spans="2:13" ht="13.5" customHeight="1" x14ac:dyDescent="0.25">
      <c r="B31" s="66"/>
      <c r="C31" s="264"/>
      <c r="D31" s="168"/>
      <c r="E31" s="168"/>
      <c r="F31" s="168"/>
      <c r="G31" s="291"/>
      <c r="H31" s="291"/>
      <c r="I31" s="197"/>
      <c r="J31" s="295"/>
      <c r="K31" s="297"/>
      <c r="L31" s="32"/>
    </row>
    <row r="32" spans="2:13" ht="13.5" customHeight="1" x14ac:dyDescent="0.25">
      <c r="B32" s="66"/>
      <c r="C32" s="264"/>
      <c r="D32" s="168" t="s">
        <v>199</v>
      </c>
      <c r="E32" s="168"/>
      <c r="F32" s="168"/>
      <c r="G32" s="291"/>
      <c r="H32" s="291">
        <f>ROUND((3*I27/H28),4)-H30</f>
        <v>0.27500000000000002</v>
      </c>
      <c r="I32" s="197"/>
      <c r="J32" s="275">
        <f>+H32*H17</f>
        <v>957.27500000000009</v>
      </c>
      <c r="K32" s="298"/>
      <c r="L32" s="32"/>
    </row>
    <row r="33" spans="1:12" ht="13.5" customHeight="1" x14ac:dyDescent="0.25">
      <c r="B33" s="66"/>
      <c r="C33" s="264"/>
      <c r="D33" s="168" t="s">
        <v>115</v>
      </c>
      <c r="E33" s="168"/>
      <c r="F33" s="168"/>
      <c r="G33" s="291"/>
      <c r="H33" s="291">
        <f>1-ROUND(1/0.45*H30,4)</f>
        <v>0.5</v>
      </c>
      <c r="I33" s="197"/>
      <c r="J33" s="275">
        <f>+H33*H17</f>
        <v>1740.5</v>
      </c>
      <c r="K33" s="299"/>
      <c r="L33" s="32"/>
    </row>
    <row r="34" spans="1:12" s="59" customFormat="1" ht="13.5" customHeight="1" x14ac:dyDescent="0.25">
      <c r="B34" s="68"/>
      <c r="C34" s="270"/>
      <c r="D34" s="271" t="s">
        <v>116</v>
      </c>
      <c r="E34" s="271"/>
      <c r="F34" s="271"/>
      <c r="G34" s="300"/>
      <c r="H34" s="300">
        <f>+H32+H33</f>
        <v>0.77500000000000002</v>
      </c>
      <c r="I34" s="283"/>
      <c r="J34" s="301">
        <f>SUM(J32:J33)</f>
        <v>2697.7750000000001</v>
      </c>
      <c r="K34" s="302"/>
      <c r="L34" s="35"/>
    </row>
    <row r="35" spans="1:12" ht="13.5" customHeight="1" x14ac:dyDescent="0.25">
      <c r="B35" s="66"/>
      <c r="C35" s="264"/>
      <c r="D35" s="303" t="s">
        <v>117</v>
      </c>
      <c r="E35" s="303"/>
      <c r="F35" s="303"/>
      <c r="G35" s="304"/>
      <c r="H35" s="304"/>
      <c r="I35" s="304"/>
      <c r="J35" s="305">
        <f>+J32*H28</f>
        <v>5743.6500000000005</v>
      </c>
      <c r="K35" s="299"/>
      <c r="L35" s="32"/>
    </row>
    <row r="36" spans="1:12" ht="13.5" customHeight="1" x14ac:dyDescent="0.25">
      <c r="B36" s="66"/>
      <c r="C36" s="264"/>
      <c r="D36" s="168"/>
      <c r="E36" s="168"/>
      <c r="F36" s="168"/>
      <c r="G36" s="197"/>
      <c r="H36" s="197"/>
      <c r="I36" s="197"/>
      <c r="J36" s="274"/>
      <c r="K36" s="299"/>
      <c r="L36" s="32"/>
    </row>
    <row r="37" spans="1:12" s="59" customFormat="1" ht="13.5" customHeight="1" x14ac:dyDescent="0.25">
      <c r="B37" s="68"/>
      <c r="C37" s="270"/>
      <c r="D37" s="271" t="s">
        <v>223</v>
      </c>
      <c r="E37" s="271"/>
      <c r="F37" s="271"/>
      <c r="G37" s="306"/>
      <c r="H37" s="393">
        <f>+tabellen!B128</f>
        <v>0.6</v>
      </c>
      <c r="I37" s="283"/>
      <c r="J37" s="301">
        <f>+J35*(1+H37)</f>
        <v>9189.840000000002</v>
      </c>
      <c r="K37" s="272"/>
      <c r="L37" s="35"/>
    </row>
    <row r="38" spans="1:12" ht="13.5" customHeight="1" x14ac:dyDescent="0.25">
      <c r="B38" s="66"/>
      <c r="C38" s="264"/>
      <c r="D38" s="307" t="s">
        <v>54</v>
      </c>
      <c r="E38" s="307"/>
      <c r="F38" s="307"/>
      <c r="G38" s="307"/>
      <c r="H38" s="307"/>
      <c r="I38" s="307"/>
      <c r="J38" s="308">
        <f>+J37/H$28</f>
        <v>1531.6400000000003</v>
      </c>
      <c r="K38" s="309"/>
      <c r="L38" s="32"/>
    </row>
    <row r="39" spans="1:12" ht="13.5" customHeight="1" x14ac:dyDescent="0.25">
      <c r="B39" s="66"/>
      <c r="C39" s="278"/>
      <c r="D39" s="279"/>
      <c r="E39" s="279"/>
      <c r="F39" s="279"/>
      <c r="G39" s="279"/>
      <c r="H39" s="279"/>
      <c r="I39" s="279"/>
      <c r="J39" s="310"/>
      <c r="K39" s="311"/>
      <c r="L39" s="32"/>
    </row>
    <row r="40" spans="1:12" ht="13.5" customHeight="1" x14ac:dyDescent="0.25">
      <c r="B40" s="66"/>
      <c r="C40" s="23"/>
      <c r="D40" s="23"/>
      <c r="E40" s="23"/>
      <c r="F40" s="23"/>
      <c r="G40" s="23"/>
      <c r="H40" s="23"/>
      <c r="I40" s="23"/>
      <c r="J40" s="69"/>
      <c r="K40" s="148"/>
      <c r="L40" s="32"/>
    </row>
    <row r="41" spans="1:12" ht="13.5" customHeight="1" x14ac:dyDescent="0.25">
      <c r="B41" s="66"/>
      <c r="C41" s="262"/>
      <c r="D41" s="160"/>
      <c r="E41" s="160"/>
      <c r="F41" s="160"/>
      <c r="G41" s="160"/>
      <c r="H41" s="160"/>
      <c r="I41" s="312"/>
      <c r="J41" s="160"/>
      <c r="K41" s="263"/>
      <c r="L41" s="32"/>
    </row>
    <row r="42" spans="1:12" ht="13.5" customHeight="1" x14ac:dyDescent="0.25">
      <c r="B42" s="70"/>
      <c r="C42" s="313"/>
      <c r="D42" s="265" t="s">
        <v>224</v>
      </c>
      <c r="E42" s="271"/>
      <c r="F42" s="271"/>
      <c r="G42" s="271"/>
      <c r="H42" s="271"/>
      <c r="I42" s="537"/>
      <c r="J42" s="538"/>
      <c r="K42" s="272"/>
      <c r="L42" s="35"/>
    </row>
    <row r="43" spans="1:12" ht="13.5" customHeight="1" x14ac:dyDescent="0.25">
      <c r="B43" s="71"/>
      <c r="C43" s="314"/>
      <c r="D43" s="168"/>
      <c r="E43" s="168"/>
      <c r="F43" s="168"/>
      <c r="G43" s="168"/>
      <c r="H43" s="168"/>
      <c r="I43" s="316"/>
      <c r="J43" s="268"/>
      <c r="K43" s="266"/>
      <c r="L43" s="32"/>
    </row>
    <row r="44" spans="1:12" ht="13.5" customHeight="1" x14ac:dyDescent="0.25">
      <c r="B44" s="66"/>
      <c r="C44" s="264"/>
      <c r="D44" s="168" t="s">
        <v>118</v>
      </c>
      <c r="E44" s="168"/>
      <c r="F44" s="168"/>
      <c r="G44" s="168"/>
      <c r="H44" s="168"/>
      <c r="I44" s="315"/>
      <c r="J44" s="168"/>
      <c r="K44" s="266"/>
      <c r="L44" s="32"/>
    </row>
    <row r="45" spans="1:12" ht="13.5" customHeight="1" x14ac:dyDescent="0.25">
      <c r="B45" s="66"/>
      <c r="C45" s="264"/>
      <c r="D45" s="168" t="s">
        <v>119</v>
      </c>
      <c r="E45" s="168"/>
      <c r="F45" s="168"/>
      <c r="G45" s="317"/>
      <c r="H45" s="318">
        <v>600</v>
      </c>
      <c r="I45" s="319" t="s">
        <v>120</v>
      </c>
      <c r="J45" s="320"/>
      <c r="K45" s="266"/>
      <c r="L45" s="32"/>
    </row>
    <row r="46" spans="1:12" ht="13.5" customHeight="1" x14ac:dyDescent="0.25">
      <c r="B46" s="66"/>
      <c r="C46" s="264"/>
      <c r="D46" s="168" t="s">
        <v>121</v>
      </c>
      <c r="E46" s="168"/>
      <c r="F46" s="168"/>
      <c r="G46" s="321"/>
      <c r="H46" s="322">
        <v>0.73899999999999999</v>
      </c>
      <c r="I46" s="319" t="s">
        <v>120</v>
      </c>
      <c r="J46" s="320"/>
      <c r="K46" s="266"/>
      <c r="L46" s="32"/>
    </row>
    <row r="47" spans="1:12" ht="13.5" customHeight="1" x14ac:dyDescent="0.25">
      <c r="B47" s="66"/>
      <c r="C47" s="264"/>
      <c r="D47" s="168"/>
      <c r="E47" s="197"/>
      <c r="F47" s="197" t="s">
        <v>122</v>
      </c>
      <c r="G47" s="168"/>
      <c r="H47" s="197"/>
      <c r="I47" s="319"/>
      <c r="J47" s="320"/>
      <c r="K47" s="266"/>
      <c r="L47" s="32"/>
    </row>
    <row r="48" spans="1:12" s="59" customFormat="1" ht="13.5" customHeight="1" x14ac:dyDescent="0.25">
      <c r="A48" s="62"/>
      <c r="B48" s="66"/>
      <c r="C48" s="264"/>
      <c r="D48" s="168" t="s">
        <v>123</v>
      </c>
      <c r="E48" s="174">
        <v>20</v>
      </c>
      <c r="F48" s="174">
        <v>40</v>
      </c>
      <c r="G48" s="321"/>
      <c r="H48" s="323">
        <v>0.375</v>
      </c>
      <c r="I48" s="319" t="s">
        <v>124</v>
      </c>
      <c r="J48" s="320"/>
      <c r="K48" s="266"/>
      <c r="L48" s="32"/>
    </row>
    <row r="49" spans="1:12" ht="13.5" customHeight="1" x14ac:dyDescent="0.25">
      <c r="A49" s="60"/>
      <c r="B49" s="66"/>
      <c r="C49" s="264"/>
      <c r="D49" s="168" t="s">
        <v>125</v>
      </c>
      <c r="E49" s="168"/>
      <c r="F49" s="168"/>
      <c r="G49" s="177"/>
      <c r="H49" s="324">
        <v>1.8</v>
      </c>
      <c r="I49" s="319" t="s">
        <v>233</v>
      </c>
      <c r="J49" s="320"/>
      <c r="K49" s="266"/>
      <c r="L49" s="32"/>
    </row>
    <row r="50" spans="1:12" ht="13.5" customHeight="1" x14ac:dyDescent="0.25">
      <c r="B50" s="66"/>
      <c r="C50" s="264"/>
      <c r="D50" s="168" t="s">
        <v>126</v>
      </c>
      <c r="E50" s="168"/>
      <c r="F50" s="168"/>
      <c r="G50" s="325"/>
      <c r="H50" s="326">
        <f>ROUND(H45*H46*H48*H49,0)</f>
        <v>299</v>
      </c>
      <c r="I50" s="319"/>
      <c r="J50" s="320"/>
      <c r="K50" s="266"/>
      <c r="L50" s="32"/>
    </row>
    <row r="51" spans="1:12" ht="13.5" customHeight="1" x14ac:dyDescent="0.25">
      <c r="B51" s="66"/>
      <c r="C51" s="264"/>
      <c r="D51" s="168" t="s">
        <v>127</v>
      </c>
      <c r="E51" s="168"/>
      <c r="F51" s="168"/>
      <c r="G51" s="321"/>
      <c r="H51" s="322">
        <v>1</v>
      </c>
      <c r="I51" s="319" t="s">
        <v>128</v>
      </c>
      <c r="J51" s="320"/>
      <c r="K51" s="266"/>
      <c r="L51" s="32"/>
    </row>
    <row r="52" spans="1:12" ht="13.5" customHeight="1" x14ac:dyDescent="0.25">
      <c r="B52" s="66"/>
      <c r="C52" s="264"/>
      <c r="D52" s="168" t="s">
        <v>129</v>
      </c>
      <c r="E52" s="168"/>
      <c r="F52" s="168"/>
      <c r="G52" s="325"/>
      <c r="H52" s="326">
        <f>ROUND(H50*H51/(F48-E48),0)</f>
        <v>15</v>
      </c>
      <c r="I52" s="319"/>
      <c r="J52" s="320"/>
      <c r="K52" s="266"/>
      <c r="L52" s="32"/>
    </row>
    <row r="53" spans="1:12" ht="13.5" customHeight="1" x14ac:dyDescent="0.25">
      <c r="B53" s="66"/>
      <c r="C53" s="264"/>
      <c r="D53" s="168" t="s">
        <v>130</v>
      </c>
      <c r="E53" s="168"/>
      <c r="F53" s="168"/>
      <c r="G53" s="327"/>
      <c r="H53" s="328">
        <v>9000</v>
      </c>
      <c r="I53" s="319" t="s">
        <v>128</v>
      </c>
      <c r="J53" s="320"/>
      <c r="K53" s="266"/>
      <c r="L53" s="32"/>
    </row>
    <row r="54" spans="1:12" ht="13.5" customHeight="1" x14ac:dyDescent="0.25">
      <c r="B54" s="68"/>
      <c r="C54" s="270"/>
      <c r="D54" s="271" t="s">
        <v>131</v>
      </c>
      <c r="E54" s="271"/>
      <c r="F54" s="271"/>
      <c r="G54" s="329"/>
      <c r="H54" s="330">
        <f>+H52*H53</f>
        <v>135000</v>
      </c>
      <c r="I54" s="331" t="s">
        <v>232</v>
      </c>
      <c r="J54" s="332"/>
      <c r="K54" s="272"/>
      <c r="L54" s="35"/>
    </row>
    <row r="55" spans="1:12" ht="13.5" customHeight="1" x14ac:dyDescent="0.25">
      <c r="B55" s="66"/>
      <c r="C55" s="278"/>
      <c r="D55" s="279"/>
      <c r="E55" s="279"/>
      <c r="F55" s="279"/>
      <c r="G55" s="279"/>
      <c r="H55" s="279"/>
      <c r="I55" s="333"/>
      <c r="J55" s="279"/>
      <c r="K55" s="281"/>
      <c r="L55" s="32"/>
    </row>
    <row r="56" spans="1:12" ht="13.5" customHeight="1" x14ac:dyDescent="0.25">
      <c r="B56" s="66"/>
      <c r="C56" s="23"/>
      <c r="D56" s="23"/>
      <c r="E56" s="23"/>
      <c r="F56" s="23"/>
      <c r="G56" s="23"/>
      <c r="H56" s="23"/>
      <c r="I56" s="69"/>
      <c r="J56" s="23"/>
      <c r="K56" s="146"/>
      <c r="L56" s="32"/>
    </row>
    <row r="57" spans="1:12" ht="13.5" customHeight="1" x14ac:dyDescent="0.25">
      <c r="B57" s="66"/>
      <c r="C57" s="23"/>
      <c r="D57" s="23"/>
      <c r="E57" s="23"/>
      <c r="F57" s="23"/>
      <c r="G57" s="23"/>
      <c r="H57" s="23"/>
      <c r="I57" s="69"/>
      <c r="J57" s="23"/>
      <c r="K57" s="146"/>
      <c r="L57" s="32"/>
    </row>
    <row r="58" spans="1:12" ht="13.5" customHeight="1" x14ac:dyDescent="0.25">
      <c r="B58" s="72"/>
      <c r="C58" s="73"/>
      <c r="D58" s="73"/>
      <c r="E58" s="73"/>
      <c r="F58" s="73"/>
      <c r="G58" s="73"/>
      <c r="H58" s="73"/>
      <c r="I58" s="122"/>
      <c r="J58" s="73"/>
      <c r="K58" s="426" t="s">
        <v>276</v>
      </c>
      <c r="L58" s="74"/>
    </row>
    <row r="59" spans="1:12" ht="13.5" customHeight="1" x14ac:dyDescent="0.25">
      <c r="I59" s="123"/>
    </row>
    <row r="60" spans="1:12" s="59" customFormat="1" ht="13.5" customHeight="1" x14ac:dyDescent="0.25">
      <c r="B60" s="3"/>
      <c r="C60" s="3"/>
      <c r="D60" s="3"/>
      <c r="E60" s="3"/>
      <c r="F60" s="3"/>
      <c r="G60" s="3"/>
      <c r="H60" s="3"/>
      <c r="I60" s="123"/>
      <c r="J60" s="3"/>
      <c r="K60" s="149"/>
      <c r="L60" s="3"/>
    </row>
    <row r="61" spans="1:12" ht="13.5" customHeight="1" x14ac:dyDescent="0.25">
      <c r="I61" s="123"/>
    </row>
    <row r="62" spans="1:12" ht="13.5" customHeight="1" x14ac:dyDescent="0.25">
      <c r="I62" s="123"/>
    </row>
    <row r="63" spans="1:12" ht="13.5" customHeight="1" x14ac:dyDescent="0.25">
      <c r="I63" s="123"/>
    </row>
    <row r="64" spans="1:12" ht="13.5" customHeight="1" x14ac:dyDescent="0.25">
      <c r="I64" s="123"/>
    </row>
    <row r="65" spans="9:14" ht="13.5" customHeight="1" x14ac:dyDescent="0.25">
      <c r="I65" s="123"/>
    </row>
    <row r="66" spans="9:14" ht="13.5" customHeight="1" x14ac:dyDescent="0.25">
      <c r="I66" s="123"/>
    </row>
    <row r="67" spans="9:14" ht="13.5" customHeight="1" x14ac:dyDescent="0.25">
      <c r="I67" s="123"/>
    </row>
    <row r="68" spans="9:14" ht="13.5" customHeight="1" x14ac:dyDescent="0.25">
      <c r="I68" s="123"/>
    </row>
    <row r="69" spans="9:14" ht="13.5" customHeight="1" x14ac:dyDescent="0.25">
      <c r="I69" s="123"/>
      <c r="N69" s="143" t="s">
        <v>78</v>
      </c>
    </row>
    <row r="70" spans="9:14" ht="13.5" customHeight="1" x14ac:dyDescent="0.25">
      <c r="I70" s="123"/>
      <c r="N70" s="143" t="s">
        <v>71</v>
      </c>
    </row>
    <row r="71" spans="9:14" ht="13.5" customHeight="1" x14ac:dyDescent="0.25">
      <c r="I71" s="123"/>
      <c r="N71" s="143" t="s">
        <v>72</v>
      </c>
    </row>
    <row r="72" spans="9:14" ht="13.5" customHeight="1" x14ac:dyDescent="0.25">
      <c r="I72" s="123"/>
      <c r="N72" s="143" t="s">
        <v>73</v>
      </c>
    </row>
    <row r="73" spans="9:14" ht="13.5" customHeight="1" x14ac:dyDescent="0.25">
      <c r="I73" s="123"/>
      <c r="N73" s="143" t="s">
        <v>74</v>
      </c>
    </row>
    <row r="74" spans="9:14" ht="13.5" customHeight="1" x14ac:dyDescent="0.25">
      <c r="I74" s="123"/>
      <c r="N74" s="143" t="s">
        <v>75</v>
      </c>
    </row>
    <row r="75" spans="9:14" ht="13.5" customHeight="1" x14ac:dyDescent="0.25">
      <c r="I75" s="123"/>
      <c r="N75" s="143" t="s">
        <v>76</v>
      </c>
    </row>
    <row r="76" spans="9:14" ht="13.5" customHeight="1" x14ac:dyDescent="0.25">
      <c r="I76" s="123"/>
      <c r="N76" s="143" t="s">
        <v>77</v>
      </c>
    </row>
    <row r="77" spans="9:14" ht="13.5" customHeight="1" x14ac:dyDescent="0.25">
      <c r="I77" s="123"/>
      <c r="N77" s="144" t="s">
        <v>2</v>
      </c>
    </row>
    <row r="78" spans="9:14" ht="13.5" customHeight="1" x14ac:dyDescent="0.25">
      <c r="I78" s="123"/>
      <c r="N78" s="144" t="s">
        <v>3</v>
      </c>
    </row>
    <row r="79" spans="9:14" ht="13.5" customHeight="1" x14ac:dyDescent="0.25">
      <c r="I79" s="123"/>
      <c r="N79" s="144" t="s">
        <v>4</v>
      </c>
    </row>
    <row r="80" spans="9:14" ht="13.5" customHeight="1" x14ac:dyDescent="0.25">
      <c r="I80" s="123"/>
      <c r="N80" s="144" t="s">
        <v>5</v>
      </c>
    </row>
    <row r="81" spans="6:14" ht="13.5" customHeight="1" x14ac:dyDescent="0.25">
      <c r="I81" s="123"/>
      <c r="N81" s="144" t="s">
        <v>6</v>
      </c>
    </row>
    <row r="82" spans="6:14" ht="13.5" customHeight="1" x14ac:dyDescent="0.25">
      <c r="I82" s="123"/>
      <c r="N82" s="144" t="s">
        <v>7</v>
      </c>
    </row>
    <row r="83" spans="6:14" ht="13.5" customHeight="1" x14ac:dyDescent="0.25">
      <c r="I83" s="123"/>
      <c r="N83" s="144" t="s">
        <v>8</v>
      </c>
    </row>
    <row r="84" spans="6:14" ht="13.5" customHeight="1" x14ac:dyDescent="0.25">
      <c r="I84" s="123"/>
      <c r="N84" s="144" t="s">
        <v>10</v>
      </c>
    </row>
    <row r="85" spans="6:14" ht="13.5" customHeight="1" x14ac:dyDescent="0.25">
      <c r="I85" s="123"/>
      <c r="N85" s="144" t="s">
        <v>11</v>
      </c>
    </row>
    <row r="86" spans="6:14" ht="13.5" customHeight="1" x14ac:dyDescent="0.25">
      <c r="I86" s="123"/>
      <c r="N86" s="144" t="s">
        <v>12</v>
      </c>
    </row>
    <row r="87" spans="6:14" ht="13.5" customHeight="1" x14ac:dyDescent="0.25">
      <c r="I87" s="123"/>
      <c r="N87" s="144" t="s">
        <v>13</v>
      </c>
    </row>
    <row r="88" spans="6:14" ht="13.5" customHeight="1" x14ac:dyDescent="0.25">
      <c r="F88" s="129"/>
      <c r="G88" s="130"/>
      <c r="I88" s="123"/>
      <c r="N88" s="516" t="s">
        <v>327</v>
      </c>
    </row>
    <row r="89" spans="6:14" ht="13.5" customHeight="1" x14ac:dyDescent="0.25">
      <c r="F89" s="129"/>
      <c r="G89" s="130"/>
      <c r="I89" s="123"/>
      <c r="N89" s="516" t="s">
        <v>328</v>
      </c>
    </row>
    <row r="90" spans="6:14" ht="13.5" customHeight="1" x14ac:dyDescent="0.25">
      <c r="F90" s="129"/>
      <c r="G90" s="130"/>
      <c r="I90" s="123"/>
      <c r="N90" s="516" t="s">
        <v>329</v>
      </c>
    </row>
    <row r="91" spans="6:14" ht="13.5" customHeight="1" x14ac:dyDescent="0.25">
      <c r="F91" s="129"/>
      <c r="G91" s="130"/>
      <c r="I91" s="123"/>
      <c r="N91" s="516" t="s">
        <v>330</v>
      </c>
    </row>
    <row r="92" spans="6:14" ht="13.5" customHeight="1" x14ac:dyDescent="0.25">
      <c r="F92" s="128"/>
      <c r="G92" s="123"/>
      <c r="I92" s="123"/>
      <c r="N92" s="516" t="s">
        <v>331</v>
      </c>
    </row>
    <row r="93" spans="6:14" ht="13.5" customHeight="1" x14ac:dyDescent="0.25">
      <c r="F93" s="129"/>
      <c r="G93" s="123"/>
      <c r="I93" s="123"/>
      <c r="N93" s="143">
        <v>1</v>
      </c>
    </row>
    <row r="94" spans="6:14" ht="13.5" customHeight="1" x14ac:dyDescent="0.25">
      <c r="F94" s="116"/>
      <c r="I94" s="123"/>
      <c r="N94" s="143">
        <v>2</v>
      </c>
    </row>
    <row r="95" spans="6:14" ht="13.5" customHeight="1" x14ac:dyDescent="0.25">
      <c r="I95" s="123"/>
      <c r="N95" s="143">
        <v>3</v>
      </c>
    </row>
    <row r="96" spans="6:14" ht="13.5" customHeight="1" x14ac:dyDescent="0.25">
      <c r="I96" s="123"/>
      <c r="N96" s="143">
        <v>4</v>
      </c>
    </row>
    <row r="97" spans="14:14" ht="13.5" customHeight="1" x14ac:dyDescent="0.25">
      <c r="N97" s="143">
        <v>5</v>
      </c>
    </row>
    <row r="98" spans="14:14" ht="13.5" customHeight="1" x14ac:dyDescent="0.25">
      <c r="N98" s="143">
        <v>6</v>
      </c>
    </row>
    <row r="99" spans="14:14" ht="13.5" customHeight="1" x14ac:dyDescent="0.25">
      <c r="N99" s="143">
        <v>7</v>
      </c>
    </row>
    <row r="100" spans="14:14" ht="13.5" customHeight="1" x14ac:dyDescent="0.25">
      <c r="N100" s="143">
        <v>8</v>
      </c>
    </row>
    <row r="101" spans="14:14" ht="13.5" customHeight="1" x14ac:dyDescent="0.25">
      <c r="N101" s="143">
        <v>9</v>
      </c>
    </row>
    <row r="102" spans="14:14" ht="13.5" customHeight="1" x14ac:dyDescent="0.25">
      <c r="N102" s="143">
        <v>10</v>
      </c>
    </row>
    <row r="103" spans="14:14" ht="13.5" customHeight="1" x14ac:dyDescent="0.25">
      <c r="N103" s="143">
        <v>11</v>
      </c>
    </row>
    <row r="104" spans="14:14" ht="13.5" customHeight="1" x14ac:dyDescent="0.25">
      <c r="N104" s="143">
        <v>12</v>
      </c>
    </row>
    <row r="105" spans="14:14" ht="13.5" customHeight="1" x14ac:dyDescent="0.25">
      <c r="N105" s="143">
        <v>13</v>
      </c>
    </row>
    <row r="106" spans="14:14" ht="13.5" customHeight="1" x14ac:dyDescent="0.25">
      <c r="N106" s="143">
        <v>14</v>
      </c>
    </row>
    <row r="107" spans="14:14" ht="13.5" customHeight="1" x14ac:dyDescent="0.25">
      <c r="N107" s="143">
        <v>15</v>
      </c>
    </row>
    <row r="108" spans="14:14" ht="13.5" customHeight="1" x14ac:dyDescent="0.25">
      <c r="N108" s="143">
        <v>16</v>
      </c>
    </row>
    <row r="109" spans="14:14" ht="13.5" customHeight="1" x14ac:dyDescent="0.25">
      <c r="N109" s="143" t="s">
        <v>14</v>
      </c>
    </row>
    <row r="110" spans="14:14" ht="13.5" customHeight="1" x14ac:dyDescent="0.25">
      <c r="N110" s="143" t="s">
        <v>15</v>
      </c>
    </row>
    <row r="111" spans="14:14" ht="13.5" customHeight="1" x14ac:dyDescent="0.25">
      <c r="N111" s="143" t="s">
        <v>79</v>
      </c>
    </row>
    <row r="112" spans="14:14" ht="13.5" customHeight="1" x14ac:dyDescent="0.25">
      <c r="N112" s="143" t="s">
        <v>80</v>
      </c>
    </row>
    <row r="113" spans="14:14" ht="13.5" customHeight="1" x14ac:dyDescent="0.25">
      <c r="N113" s="143" t="s">
        <v>81</v>
      </c>
    </row>
  </sheetData>
  <sheetProtection algorithmName="SHA-512" hashValue="8shiwnJaCMy6W1mfdmj2knk5wA8MfTQZGrP3QFExEfUO+/Kax6uhyZ+hpTZ8afPiJ0gVJxxB+or3VRXxxq4vlQ==" saltValue="CbcEaq9cUXulTwKjDt+Hfg==" spinCount="100000" sheet="1" objects="1" scenarios="1"/>
  <mergeCells count="1">
    <mergeCell ref="I42:J42"/>
  </mergeCells>
  <phoneticPr fontId="0" type="noConversion"/>
  <dataValidations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$N$69:$N$113</formula1>
    </dataValidation>
  </dataValidations>
  <hyperlinks>
    <hyperlink ref="K58"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105"/>
  <sheetViews>
    <sheetView zoomScale="85" zoomScaleNormal="85" workbookViewId="0">
      <selection activeCell="B2" sqref="B2"/>
    </sheetView>
  </sheetViews>
  <sheetFormatPr defaultColWidth="9.7109375" defaultRowHeight="13.5" customHeight="1" x14ac:dyDescent="0.25"/>
  <cols>
    <col min="1" max="1" width="3.7109375" style="1" customWidth="1"/>
    <col min="2" max="3" width="2.7109375" style="1" customWidth="1"/>
    <col min="4" max="4" width="45.7109375" style="1" customWidth="1"/>
    <col min="5" max="5" width="2.7109375" style="1" customWidth="1"/>
    <col min="6" max="6" width="14.7109375" style="7" customWidth="1"/>
    <col min="7" max="8" width="14.7109375" style="1" customWidth="1"/>
    <col min="9" max="10" width="2.7109375" style="1" customWidth="1"/>
    <col min="11" max="11" width="10.7109375" style="1" customWidth="1"/>
    <col min="12" max="12" width="6.140625" style="1" customWidth="1"/>
    <col min="13" max="13" width="8.140625" style="1" customWidth="1"/>
    <col min="14" max="14" width="2.42578125" style="1" customWidth="1"/>
    <col min="15" max="15" width="6.7109375" style="1" customWidth="1"/>
    <col min="16" max="16" width="10.7109375" style="1" customWidth="1"/>
    <col min="17" max="17" width="2.7109375" style="1" customWidth="1"/>
    <col min="18" max="19" width="10.7109375" style="1" customWidth="1"/>
    <col min="20" max="20" width="2.140625" style="1" customWidth="1"/>
    <col min="21" max="21" width="10.7109375" style="1" customWidth="1"/>
    <col min="22" max="22" width="1.85546875" style="1" customWidth="1"/>
    <col min="23" max="23" width="2.85546875" style="1" customWidth="1"/>
    <col min="24" max="25" width="10.7109375" style="1" customWidth="1"/>
    <col min="26" max="16384" width="9.7109375" style="1"/>
  </cols>
  <sheetData>
    <row r="2" spans="2:41" ht="13.5" customHeight="1" x14ac:dyDescent="0.25">
      <c r="B2" s="13"/>
      <c r="C2" s="14"/>
      <c r="D2" s="14"/>
      <c r="E2" s="14"/>
      <c r="F2" s="16"/>
      <c r="G2" s="14"/>
      <c r="H2" s="14"/>
      <c r="I2" s="14"/>
      <c r="J2" s="17"/>
      <c r="K2" s="38"/>
      <c r="L2" s="380" t="s">
        <v>241</v>
      </c>
      <c r="M2" s="381"/>
      <c r="N2" s="381"/>
      <c r="O2" s="381"/>
      <c r="P2" s="381"/>
      <c r="Q2" s="381"/>
      <c r="R2" s="381"/>
      <c r="S2" s="381"/>
      <c r="T2" s="381"/>
      <c r="U2" s="381"/>
      <c r="V2" s="381"/>
      <c r="W2" s="382"/>
      <c r="X2" s="38"/>
      <c r="Y2" s="517" t="s">
        <v>78</v>
      </c>
    </row>
    <row r="3" spans="2:41" ht="13.5" customHeight="1" x14ac:dyDescent="0.25">
      <c r="B3" s="18"/>
      <c r="C3" s="19"/>
      <c r="D3" s="19"/>
      <c r="E3" s="19"/>
      <c r="F3" s="21"/>
      <c r="G3" s="19"/>
      <c r="H3" s="19"/>
      <c r="I3" s="19"/>
      <c r="J3" s="22"/>
      <c r="K3" s="38"/>
      <c r="L3" s="383" t="s">
        <v>144</v>
      </c>
      <c r="M3" s="384"/>
      <c r="N3" s="384"/>
      <c r="O3" s="384" t="s">
        <v>145</v>
      </c>
      <c r="P3" s="384"/>
      <c r="Q3" s="384"/>
      <c r="R3" s="384"/>
      <c r="S3" s="384"/>
      <c r="T3" s="384"/>
      <c r="U3" s="384" t="s">
        <v>25</v>
      </c>
      <c r="V3" s="384"/>
      <c r="W3" s="385"/>
      <c r="X3" s="38"/>
      <c r="Y3" s="517" t="s">
        <v>71</v>
      </c>
    </row>
    <row r="4" spans="2:41" s="99" customFormat="1" ht="18" customHeight="1" x14ac:dyDescent="0.3">
      <c r="B4" s="96"/>
      <c r="C4" s="86" t="s">
        <v>236</v>
      </c>
      <c r="D4" s="97"/>
      <c r="E4" s="97"/>
      <c r="F4" s="88" t="str">
        <f>tabellen!B3</f>
        <v>2019/2020</v>
      </c>
      <c r="G4" s="87"/>
      <c r="H4" s="97"/>
      <c r="I4" s="97"/>
      <c r="J4" s="98"/>
      <c r="K4" s="372"/>
      <c r="L4" s="383" t="str">
        <f>+F$30</f>
        <v>L11</v>
      </c>
      <c r="M4" s="384">
        <f t="shared" ref="M4:M49" si="0">+$F$31+W4</f>
        <v>8</v>
      </c>
      <c r="N4" s="384"/>
      <c r="O4" s="384" t="str">
        <f t="shared" ref="O4:O49" si="1">+$F$16</f>
        <v>L10</v>
      </c>
      <c r="P4" s="384">
        <f>+$F$17+W4</f>
        <v>9</v>
      </c>
      <c r="Q4" s="384"/>
      <c r="R4" s="386">
        <f t="shared" ref="R4:R49" si="2">IF(W4+1&gt;$F$45,0,IF(M4&gt;$H$31,VLOOKUP($L4,salaris2020,$H$31+1,FALSE),VLOOKUP($L4,salaris2020,M4+1,FALSE))*12*(1+F$43))</f>
        <v>66835.199999999997</v>
      </c>
      <c r="S4" s="386">
        <f t="shared" ref="S4:S49" si="3">IF(W4+1&gt;$F$45,0,IF(P4&gt;$H$17,VLOOKUP($O4,salaris2020,$H$17+1,FALSE),VLOOKUP($O4,salaris2020,P4+1,FALSE))*12*(1+F$43))</f>
        <v>65644.800000000003</v>
      </c>
      <c r="T4" s="384"/>
      <c r="U4" s="386">
        <f t="shared" ref="U4:U49" si="4">+R4-S4</f>
        <v>1190.3999999999942</v>
      </c>
      <c r="V4" s="384"/>
      <c r="W4" s="385">
        <v>0</v>
      </c>
      <c r="X4" s="372"/>
      <c r="Y4" s="517" t="s">
        <v>72</v>
      </c>
      <c r="AF4" s="100"/>
      <c r="AG4" s="100"/>
      <c r="AH4" s="100"/>
      <c r="AI4" s="100"/>
      <c r="AJ4" s="100"/>
      <c r="AK4" s="100"/>
      <c r="AL4" s="100"/>
      <c r="AM4" s="100"/>
      <c r="AN4" s="100"/>
      <c r="AO4" s="100"/>
    </row>
    <row r="5" spans="2:41" s="75" customFormat="1" ht="13.5" customHeight="1" x14ac:dyDescent="0.25">
      <c r="B5" s="77"/>
      <c r="C5" s="78" t="s">
        <v>132</v>
      </c>
      <c r="D5" s="78"/>
      <c r="E5" s="78"/>
      <c r="F5" s="80"/>
      <c r="G5" s="78"/>
      <c r="H5" s="78"/>
      <c r="I5" s="78"/>
      <c r="J5" s="79"/>
      <c r="K5" s="373"/>
      <c r="L5" s="383" t="str">
        <f t="shared" ref="L5:L49" si="5">+F$30</f>
        <v>L11</v>
      </c>
      <c r="M5" s="384">
        <f t="shared" si="0"/>
        <v>9</v>
      </c>
      <c r="N5" s="384"/>
      <c r="O5" s="384" t="str">
        <f t="shared" si="1"/>
        <v>L10</v>
      </c>
      <c r="P5" s="384">
        <f t="shared" ref="P5:P49" si="6">+$F$17+W5</f>
        <v>10</v>
      </c>
      <c r="Q5" s="384"/>
      <c r="R5" s="386">
        <f t="shared" si="2"/>
        <v>69081.600000000006</v>
      </c>
      <c r="S5" s="386">
        <f t="shared" si="3"/>
        <v>67680</v>
      </c>
      <c r="T5" s="384"/>
      <c r="U5" s="386">
        <f t="shared" si="4"/>
        <v>1401.6000000000058</v>
      </c>
      <c r="V5" s="384"/>
      <c r="W5" s="385">
        <v>1</v>
      </c>
      <c r="X5" s="373"/>
      <c r="Y5" s="517" t="s">
        <v>73</v>
      </c>
      <c r="AF5" s="76"/>
      <c r="AG5" s="76"/>
      <c r="AH5" s="76"/>
      <c r="AI5" s="76"/>
      <c r="AJ5" s="76"/>
      <c r="AK5" s="76"/>
      <c r="AL5" s="76"/>
      <c r="AM5" s="76"/>
      <c r="AN5" s="76"/>
      <c r="AO5" s="76"/>
    </row>
    <row r="6" spans="2:41" ht="13.5" customHeight="1" x14ac:dyDescent="0.25">
      <c r="B6" s="18"/>
      <c r="C6" s="411" t="str">
        <f>+tabellen!C2</f>
        <v xml:space="preserve"> vanaf 1 juli</v>
      </c>
      <c r="D6" s="33"/>
      <c r="E6" s="19"/>
      <c r="F6" s="21"/>
      <c r="G6" s="19"/>
      <c r="H6" s="19"/>
      <c r="I6" s="19"/>
      <c r="J6" s="22"/>
      <c r="K6" s="38"/>
      <c r="L6" s="383" t="str">
        <f t="shared" si="5"/>
        <v>L11</v>
      </c>
      <c r="M6" s="384">
        <f t="shared" si="0"/>
        <v>10</v>
      </c>
      <c r="N6" s="384"/>
      <c r="O6" s="384" t="str">
        <f t="shared" si="1"/>
        <v>L10</v>
      </c>
      <c r="P6" s="384">
        <f t="shared" si="6"/>
        <v>11</v>
      </c>
      <c r="Q6" s="384"/>
      <c r="R6" s="386">
        <f t="shared" si="2"/>
        <v>71424</v>
      </c>
      <c r="S6" s="386">
        <f t="shared" si="3"/>
        <v>69772.800000000003</v>
      </c>
      <c r="T6" s="384"/>
      <c r="U6" s="386">
        <f t="shared" si="4"/>
        <v>1651.1999999999971</v>
      </c>
      <c r="V6" s="384"/>
      <c r="W6" s="385">
        <v>2</v>
      </c>
      <c r="X6" s="38"/>
      <c r="Y6" s="517" t="s">
        <v>74</v>
      </c>
      <c r="AF6" s="3"/>
      <c r="AG6" s="3"/>
      <c r="AH6" s="3"/>
      <c r="AI6" s="3"/>
      <c r="AJ6" s="3"/>
      <c r="AK6" s="3"/>
      <c r="AL6" s="3"/>
      <c r="AM6" s="3"/>
      <c r="AN6" s="3"/>
      <c r="AO6" s="3"/>
    </row>
    <row r="7" spans="2:41" ht="13.5" customHeight="1" x14ac:dyDescent="0.25">
      <c r="B7" s="18"/>
      <c r="C7" s="19"/>
      <c r="D7" s="33"/>
      <c r="E7" s="19"/>
      <c r="F7" s="21"/>
      <c r="G7" s="19"/>
      <c r="H7" s="19"/>
      <c r="I7" s="19"/>
      <c r="J7" s="22"/>
      <c r="K7" s="38"/>
      <c r="L7" s="383" t="str">
        <f t="shared" si="5"/>
        <v>L11</v>
      </c>
      <c r="M7" s="384">
        <f t="shared" si="0"/>
        <v>11</v>
      </c>
      <c r="N7" s="384"/>
      <c r="O7" s="384" t="str">
        <f t="shared" si="1"/>
        <v>L10</v>
      </c>
      <c r="P7" s="384">
        <f t="shared" si="6"/>
        <v>12</v>
      </c>
      <c r="Q7" s="384"/>
      <c r="R7" s="386">
        <f t="shared" si="2"/>
        <v>73824</v>
      </c>
      <c r="S7" s="386">
        <f t="shared" si="3"/>
        <v>71942.400000000009</v>
      </c>
      <c r="T7" s="384"/>
      <c r="U7" s="386">
        <f t="shared" si="4"/>
        <v>1881.5999999999913</v>
      </c>
      <c r="V7" s="384"/>
      <c r="W7" s="385">
        <v>3</v>
      </c>
      <c r="X7" s="38"/>
      <c r="Y7" s="517" t="s">
        <v>75</v>
      </c>
      <c r="AF7" s="3"/>
      <c r="AG7" s="3"/>
      <c r="AH7" s="3"/>
      <c r="AI7" s="3"/>
      <c r="AJ7" s="3"/>
      <c r="AK7" s="3"/>
      <c r="AL7" s="3"/>
      <c r="AM7" s="3"/>
      <c r="AN7" s="3"/>
      <c r="AO7" s="3"/>
    </row>
    <row r="8" spans="2:41" ht="13.5" customHeight="1" x14ac:dyDescent="0.25">
      <c r="B8" s="18"/>
      <c r="C8" s="25"/>
      <c r="D8" s="28"/>
      <c r="E8" s="25"/>
      <c r="F8" s="26"/>
      <c r="G8" s="25"/>
      <c r="H8" s="25"/>
      <c r="I8" s="25"/>
      <c r="J8" s="22"/>
      <c r="K8" s="38"/>
      <c r="L8" s="383" t="str">
        <f t="shared" si="5"/>
        <v>L11</v>
      </c>
      <c r="M8" s="384">
        <f t="shared" si="0"/>
        <v>12</v>
      </c>
      <c r="N8" s="384"/>
      <c r="O8" s="384" t="str">
        <f t="shared" si="1"/>
        <v>L10</v>
      </c>
      <c r="P8" s="384">
        <f t="shared" si="6"/>
        <v>13</v>
      </c>
      <c r="Q8" s="384"/>
      <c r="R8" s="386">
        <f t="shared" si="2"/>
        <v>76339.199999999997</v>
      </c>
      <c r="S8" s="386">
        <f t="shared" si="3"/>
        <v>74150.400000000009</v>
      </c>
      <c r="T8" s="384"/>
      <c r="U8" s="386">
        <f t="shared" si="4"/>
        <v>2188.7999999999884</v>
      </c>
      <c r="V8" s="384"/>
      <c r="W8" s="385">
        <v>4</v>
      </c>
      <c r="X8" s="38"/>
      <c r="Y8" s="517" t="s">
        <v>76</v>
      </c>
      <c r="AF8" s="3"/>
      <c r="AG8" s="3"/>
      <c r="AH8" s="3"/>
      <c r="AI8" s="3"/>
      <c r="AJ8" s="3"/>
      <c r="AK8" s="3"/>
      <c r="AL8" s="3"/>
      <c r="AM8" s="3"/>
      <c r="AN8" s="3"/>
      <c r="AO8" s="3"/>
    </row>
    <row r="9" spans="2:41" ht="13.5" customHeight="1" x14ac:dyDescent="0.25">
      <c r="B9" s="18"/>
      <c r="C9" s="25"/>
      <c r="D9" s="25" t="s">
        <v>103</v>
      </c>
      <c r="E9" s="25"/>
      <c r="F9" s="539" t="s">
        <v>27</v>
      </c>
      <c r="G9" s="539"/>
      <c r="H9" s="25"/>
      <c r="I9" s="25"/>
      <c r="J9" s="22"/>
      <c r="K9" s="38"/>
      <c r="L9" s="383" t="str">
        <f t="shared" si="5"/>
        <v>L11</v>
      </c>
      <c r="M9" s="384">
        <f t="shared" si="0"/>
        <v>13</v>
      </c>
      <c r="N9" s="384"/>
      <c r="O9" s="384" t="str">
        <f t="shared" si="1"/>
        <v>L10</v>
      </c>
      <c r="P9" s="384">
        <f t="shared" si="6"/>
        <v>14</v>
      </c>
      <c r="Q9" s="384"/>
      <c r="R9" s="386">
        <f t="shared" si="2"/>
        <v>78912</v>
      </c>
      <c r="S9" s="386">
        <f t="shared" si="3"/>
        <v>76454.400000000009</v>
      </c>
      <c r="T9" s="384"/>
      <c r="U9" s="386">
        <f t="shared" si="4"/>
        <v>2457.5999999999913</v>
      </c>
      <c r="V9" s="384"/>
      <c r="W9" s="385">
        <v>5</v>
      </c>
      <c r="X9" s="38"/>
      <c r="Y9" s="517" t="s">
        <v>77</v>
      </c>
      <c r="AF9" s="3"/>
      <c r="AG9" s="3"/>
      <c r="AH9" s="3"/>
      <c r="AI9" s="3"/>
      <c r="AJ9" s="3"/>
      <c r="AK9" s="3"/>
      <c r="AL9" s="3"/>
      <c r="AM9" s="3"/>
      <c r="AN9" s="3"/>
      <c r="AO9" s="3"/>
    </row>
    <row r="10" spans="2:41" ht="13.5" customHeight="1" x14ac:dyDescent="0.25">
      <c r="B10" s="18"/>
      <c r="C10" s="25"/>
      <c r="D10" s="25" t="s">
        <v>252</v>
      </c>
      <c r="E10" s="25"/>
      <c r="F10" s="412" t="s">
        <v>62</v>
      </c>
      <c r="G10" s="413"/>
      <c r="H10" s="25"/>
      <c r="I10" s="25"/>
      <c r="J10" s="22"/>
      <c r="K10" s="38"/>
      <c r="L10" s="383" t="str">
        <f t="shared" si="5"/>
        <v>L11</v>
      </c>
      <c r="M10" s="384">
        <f t="shared" si="0"/>
        <v>14</v>
      </c>
      <c r="N10" s="384"/>
      <c r="O10" s="384" t="str">
        <f t="shared" si="1"/>
        <v>L10</v>
      </c>
      <c r="P10" s="384">
        <f t="shared" si="6"/>
        <v>15</v>
      </c>
      <c r="Q10" s="384"/>
      <c r="R10" s="386">
        <f t="shared" si="2"/>
        <v>81580.800000000003</v>
      </c>
      <c r="S10" s="386">
        <f t="shared" si="3"/>
        <v>78969.600000000006</v>
      </c>
      <c r="T10" s="384"/>
      <c r="U10" s="386">
        <f t="shared" si="4"/>
        <v>2611.1999999999971</v>
      </c>
      <c r="V10" s="384"/>
      <c r="W10" s="385">
        <v>6</v>
      </c>
      <c r="X10" s="38"/>
      <c r="Y10" s="517" t="s">
        <v>2</v>
      </c>
      <c r="AF10" s="3"/>
      <c r="AG10" s="3"/>
      <c r="AH10" s="3"/>
      <c r="AI10" s="3"/>
      <c r="AJ10" s="3"/>
      <c r="AK10" s="3"/>
      <c r="AL10" s="3"/>
      <c r="AM10" s="3"/>
      <c r="AN10" s="3"/>
      <c r="AO10" s="3"/>
    </row>
    <row r="11" spans="2:41" ht="13.5" customHeight="1" x14ac:dyDescent="0.25">
      <c r="B11" s="18"/>
      <c r="C11" s="25"/>
      <c r="D11" s="28"/>
      <c r="E11" s="25"/>
      <c r="F11" s="30"/>
      <c r="G11" s="67"/>
      <c r="H11" s="25"/>
      <c r="I11" s="25"/>
      <c r="J11" s="22"/>
      <c r="K11" s="38"/>
      <c r="L11" s="383" t="str">
        <f t="shared" si="5"/>
        <v>L11</v>
      </c>
      <c r="M11" s="384">
        <f t="shared" si="0"/>
        <v>15</v>
      </c>
      <c r="N11" s="384"/>
      <c r="O11" s="384" t="str">
        <f t="shared" si="1"/>
        <v>L10</v>
      </c>
      <c r="P11" s="384">
        <f t="shared" si="6"/>
        <v>16</v>
      </c>
      <c r="Q11" s="384"/>
      <c r="R11" s="386">
        <f t="shared" si="2"/>
        <v>85132.800000000003</v>
      </c>
      <c r="S11" s="386">
        <f t="shared" si="3"/>
        <v>78969.600000000006</v>
      </c>
      <c r="T11" s="384"/>
      <c r="U11" s="386">
        <f t="shared" si="4"/>
        <v>6163.1999999999971</v>
      </c>
      <c r="V11" s="384"/>
      <c r="W11" s="385">
        <v>7</v>
      </c>
      <c r="X11" s="38"/>
      <c r="Y11" s="517" t="s">
        <v>3</v>
      </c>
      <c r="AF11" s="3"/>
      <c r="AG11" s="3"/>
      <c r="AH11" s="3"/>
      <c r="AI11" s="3"/>
      <c r="AJ11" s="3"/>
      <c r="AK11" s="3"/>
      <c r="AL11" s="3"/>
      <c r="AM11" s="3"/>
      <c r="AN11" s="3"/>
      <c r="AO11" s="3"/>
    </row>
    <row r="12" spans="2:41" ht="13.5" customHeight="1" x14ac:dyDescent="0.25">
      <c r="B12" s="18"/>
      <c r="C12" s="19"/>
      <c r="D12" s="33"/>
      <c r="E12" s="19"/>
      <c r="F12" s="29"/>
      <c r="G12" s="82"/>
      <c r="H12" s="19"/>
      <c r="I12" s="19"/>
      <c r="J12" s="22"/>
      <c r="K12" s="38"/>
      <c r="L12" s="383" t="str">
        <f t="shared" si="5"/>
        <v>L11</v>
      </c>
      <c r="M12" s="384">
        <f t="shared" si="0"/>
        <v>16</v>
      </c>
      <c r="N12" s="384"/>
      <c r="O12" s="384" t="str">
        <f t="shared" si="1"/>
        <v>L10</v>
      </c>
      <c r="P12" s="384">
        <f t="shared" si="6"/>
        <v>17</v>
      </c>
      <c r="Q12" s="384"/>
      <c r="R12" s="386">
        <f t="shared" si="2"/>
        <v>85132.800000000003</v>
      </c>
      <c r="S12" s="386">
        <f t="shared" si="3"/>
        <v>78969.600000000006</v>
      </c>
      <c r="T12" s="384"/>
      <c r="U12" s="386">
        <f t="shared" si="4"/>
        <v>6163.1999999999971</v>
      </c>
      <c r="V12" s="384"/>
      <c r="W12" s="385">
        <v>8</v>
      </c>
      <c r="X12" s="38"/>
      <c r="Y12" s="517" t="s">
        <v>4</v>
      </c>
      <c r="AF12" s="3"/>
      <c r="AG12" s="3"/>
      <c r="AH12" s="3"/>
      <c r="AI12" s="3"/>
      <c r="AJ12" s="3"/>
      <c r="AK12" s="3"/>
      <c r="AL12" s="3"/>
      <c r="AM12" s="3"/>
      <c r="AN12" s="3"/>
      <c r="AO12" s="3"/>
    </row>
    <row r="13" spans="2:41" ht="13.5" customHeight="1" x14ac:dyDescent="0.25">
      <c r="B13" s="18"/>
      <c r="C13" s="155"/>
      <c r="D13" s="240"/>
      <c r="E13" s="156"/>
      <c r="F13" s="352"/>
      <c r="G13" s="353"/>
      <c r="H13" s="156"/>
      <c r="I13" s="161"/>
      <c r="J13" s="22"/>
      <c r="K13" s="38"/>
      <c r="L13" s="383" t="str">
        <f t="shared" si="5"/>
        <v>L11</v>
      </c>
      <c r="M13" s="384">
        <f t="shared" si="0"/>
        <v>17</v>
      </c>
      <c r="N13" s="384"/>
      <c r="O13" s="384" t="str">
        <f t="shared" si="1"/>
        <v>L10</v>
      </c>
      <c r="P13" s="384">
        <f t="shared" si="6"/>
        <v>18</v>
      </c>
      <c r="Q13" s="384"/>
      <c r="R13" s="386">
        <f t="shared" si="2"/>
        <v>85132.800000000003</v>
      </c>
      <c r="S13" s="386">
        <f t="shared" si="3"/>
        <v>78969.600000000006</v>
      </c>
      <c r="T13" s="384"/>
      <c r="U13" s="386">
        <f t="shared" si="4"/>
        <v>6163.1999999999971</v>
      </c>
      <c r="V13" s="384"/>
      <c r="W13" s="385">
        <v>9</v>
      </c>
      <c r="X13" s="38"/>
      <c r="Y13" s="517" t="s">
        <v>5</v>
      </c>
      <c r="AF13" s="3"/>
      <c r="AG13" s="3"/>
      <c r="AH13" s="3"/>
      <c r="AI13" s="3"/>
      <c r="AJ13" s="3"/>
      <c r="AK13" s="3"/>
      <c r="AL13" s="3"/>
      <c r="AM13" s="3"/>
      <c r="AN13" s="3"/>
      <c r="AO13" s="3"/>
    </row>
    <row r="14" spans="2:41" ht="13.5" customHeight="1" x14ac:dyDescent="0.25">
      <c r="B14" s="18"/>
      <c r="C14" s="162"/>
      <c r="D14" s="163" t="s">
        <v>133</v>
      </c>
      <c r="E14" s="167"/>
      <c r="F14" s="197"/>
      <c r="G14" s="168"/>
      <c r="H14" s="167"/>
      <c r="I14" s="169"/>
      <c r="J14" s="22"/>
      <c r="K14" s="38"/>
      <c r="L14" s="383" t="str">
        <f t="shared" si="5"/>
        <v>L11</v>
      </c>
      <c r="M14" s="384">
        <f t="shared" si="0"/>
        <v>18</v>
      </c>
      <c r="N14" s="384"/>
      <c r="O14" s="384" t="str">
        <f t="shared" si="1"/>
        <v>L10</v>
      </c>
      <c r="P14" s="384">
        <f t="shared" si="6"/>
        <v>19</v>
      </c>
      <c r="Q14" s="384"/>
      <c r="R14" s="386">
        <f t="shared" si="2"/>
        <v>85132.800000000003</v>
      </c>
      <c r="S14" s="386">
        <f t="shared" si="3"/>
        <v>78969.600000000006</v>
      </c>
      <c r="T14" s="384"/>
      <c r="U14" s="386">
        <f t="shared" si="4"/>
        <v>6163.1999999999971</v>
      </c>
      <c r="V14" s="384"/>
      <c r="W14" s="385">
        <v>10</v>
      </c>
      <c r="X14" s="38"/>
      <c r="Y14" s="517" t="s">
        <v>6</v>
      </c>
      <c r="AF14" s="3"/>
      <c r="AG14" s="3"/>
      <c r="AH14" s="3"/>
      <c r="AI14" s="3"/>
      <c r="AJ14" s="3"/>
      <c r="AK14" s="3"/>
      <c r="AL14" s="3"/>
      <c r="AM14" s="3"/>
      <c r="AN14" s="3"/>
      <c r="AO14" s="3"/>
    </row>
    <row r="15" spans="2:41" ht="13.5" customHeight="1" x14ac:dyDescent="0.25">
      <c r="B15" s="18"/>
      <c r="C15" s="162"/>
      <c r="D15" s="163"/>
      <c r="E15" s="167"/>
      <c r="F15" s="197"/>
      <c r="G15" s="168"/>
      <c r="H15" s="167"/>
      <c r="I15" s="169"/>
      <c r="J15" s="22"/>
      <c r="K15" s="38"/>
      <c r="L15" s="383" t="str">
        <f t="shared" si="5"/>
        <v>L11</v>
      </c>
      <c r="M15" s="384">
        <f t="shared" si="0"/>
        <v>19</v>
      </c>
      <c r="N15" s="384"/>
      <c r="O15" s="384" t="str">
        <f t="shared" si="1"/>
        <v>L10</v>
      </c>
      <c r="P15" s="384">
        <f t="shared" si="6"/>
        <v>20</v>
      </c>
      <c r="Q15" s="384"/>
      <c r="R15" s="386">
        <f t="shared" si="2"/>
        <v>85132.800000000003</v>
      </c>
      <c r="S15" s="386">
        <f t="shared" si="3"/>
        <v>78969.600000000006</v>
      </c>
      <c r="T15" s="384"/>
      <c r="U15" s="386">
        <f t="shared" si="4"/>
        <v>6163.1999999999971</v>
      </c>
      <c r="V15" s="384"/>
      <c r="W15" s="385">
        <v>11</v>
      </c>
      <c r="X15" s="38"/>
      <c r="Y15" s="517" t="s">
        <v>7</v>
      </c>
      <c r="AF15" s="3"/>
      <c r="AG15" s="3"/>
      <c r="AH15" s="3"/>
      <c r="AI15" s="3"/>
      <c r="AJ15" s="3"/>
      <c r="AK15" s="3"/>
      <c r="AL15" s="3"/>
      <c r="AM15" s="3"/>
      <c r="AN15" s="3"/>
      <c r="AO15" s="3"/>
    </row>
    <row r="16" spans="2:41" ht="13.5" customHeight="1" x14ac:dyDescent="0.25">
      <c r="B16" s="18"/>
      <c r="C16" s="162"/>
      <c r="D16" s="167" t="s">
        <v>16</v>
      </c>
      <c r="E16" s="167"/>
      <c r="F16" s="354" t="s">
        <v>327</v>
      </c>
      <c r="G16" s="167"/>
      <c r="H16" s="167"/>
      <c r="I16" s="169"/>
      <c r="J16" s="22"/>
      <c r="K16" s="38"/>
      <c r="L16" s="383" t="str">
        <f t="shared" si="5"/>
        <v>L11</v>
      </c>
      <c r="M16" s="384">
        <f t="shared" si="0"/>
        <v>20</v>
      </c>
      <c r="N16" s="384"/>
      <c r="O16" s="384" t="str">
        <f t="shared" si="1"/>
        <v>L10</v>
      </c>
      <c r="P16" s="384">
        <f t="shared" si="6"/>
        <v>21</v>
      </c>
      <c r="Q16" s="384"/>
      <c r="R16" s="386">
        <f t="shared" si="2"/>
        <v>85132.800000000003</v>
      </c>
      <c r="S16" s="386">
        <f t="shared" si="3"/>
        <v>78969.600000000006</v>
      </c>
      <c r="T16" s="384"/>
      <c r="U16" s="386">
        <f t="shared" si="4"/>
        <v>6163.1999999999971</v>
      </c>
      <c r="V16" s="384"/>
      <c r="W16" s="385">
        <v>12</v>
      </c>
      <c r="X16" s="38"/>
      <c r="Y16" s="517" t="s">
        <v>8</v>
      </c>
      <c r="AF16" s="3"/>
      <c r="AG16" s="3"/>
      <c r="AH16" s="3"/>
      <c r="AI16" s="3"/>
      <c r="AJ16" s="3"/>
      <c r="AK16" s="3"/>
      <c r="AL16" s="3"/>
      <c r="AM16" s="3"/>
      <c r="AN16" s="3"/>
      <c r="AO16" s="3"/>
    </row>
    <row r="17" spans="2:41" ht="13.5" customHeight="1" x14ac:dyDescent="0.25">
      <c r="B17" s="18"/>
      <c r="C17" s="162"/>
      <c r="D17" s="167" t="s">
        <v>17</v>
      </c>
      <c r="E17" s="167"/>
      <c r="F17" s="174">
        <v>9</v>
      </c>
      <c r="G17" s="334" t="s">
        <v>134</v>
      </c>
      <c r="H17" s="335">
        <f>VLOOKUP(F$16,salaris2020,22,FALSE)</f>
        <v>15</v>
      </c>
      <c r="I17" s="169"/>
      <c r="J17" s="22"/>
      <c r="K17" s="38"/>
      <c r="L17" s="383" t="str">
        <f t="shared" si="5"/>
        <v>L11</v>
      </c>
      <c r="M17" s="384">
        <f t="shared" si="0"/>
        <v>21</v>
      </c>
      <c r="N17" s="384"/>
      <c r="O17" s="384" t="str">
        <f t="shared" si="1"/>
        <v>L10</v>
      </c>
      <c r="P17" s="384">
        <f t="shared" si="6"/>
        <v>22</v>
      </c>
      <c r="Q17" s="384"/>
      <c r="R17" s="386">
        <f t="shared" si="2"/>
        <v>85132.800000000003</v>
      </c>
      <c r="S17" s="386">
        <f t="shared" si="3"/>
        <v>78969.600000000006</v>
      </c>
      <c r="T17" s="384"/>
      <c r="U17" s="386">
        <f t="shared" si="4"/>
        <v>6163.1999999999971</v>
      </c>
      <c r="V17" s="384"/>
      <c r="W17" s="385">
        <v>13</v>
      </c>
      <c r="X17" s="38"/>
      <c r="Y17" s="517" t="s">
        <v>10</v>
      </c>
      <c r="AF17" s="3"/>
      <c r="AG17" s="3"/>
      <c r="AH17" s="3"/>
      <c r="AI17" s="3"/>
      <c r="AJ17" s="3"/>
      <c r="AK17" s="3"/>
      <c r="AL17" s="3"/>
      <c r="AM17" s="3"/>
      <c r="AN17" s="3"/>
      <c r="AO17" s="3"/>
    </row>
    <row r="18" spans="2:41" ht="13.5" customHeight="1" x14ac:dyDescent="0.25">
      <c r="B18" s="18"/>
      <c r="C18" s="162"/>
      <c r="D18" s="167" t="s">
        <v>19</v>
      </c>
      <c r="E18" s="167"/>
      <c r="F18" s="355">
        <f>VLOOKUP(F16,salaris2020,IF(F17&gt;15,16,F17+1),FALSE)</f>
        <v>3419</v>
      </c>
      <c r="G18" s="356"/>
      <c r="H18" s="357"/>
      <c r="I18" s="169"/>
      <c r="J18" s="22"/>
      <c r="K18" s="38"/>
      <c r="L18" s="383" t="str">
        <f t="shared" si="5"/>
        <v>L11</v>
      </c>
      <c r="M18" s="384">
        <f t="shared" si="0"/>
        <v>22</v>
      </c>
      <c r="N18" s="384"/>
      <c r="O18" s="384" t="str">
        <f t="shared" si="1"/>
        <v>L10</v>
      </c>
      <c r="P18" s="384">
        <f t="shared" si="6"/>
        <v>23</v>
      </c>
      <c r="Q18" s="384"/>
      <c r="R18" s="386">
        <f t="shared" si="2"/>
        <v>85132.800000000003</v>
      </c>
      <c r="S18" s="386">
        <f t="shared" si="3"/>
        <v>78969.600000000006</v>
      </c>
      <c r="T18" s="384"/>
      <c r="U18" s="386">
        <f t="shared" si="4"/>
        <v>6163.1999999999971</v>
      </c>
      <c r="V18" s="384"/>
      <c r="W18" s="385">
        <v>14</v>
      </c>
      <c r="X18" s="38"/>
      <c r="Y18" s="517" t="s">
        <v>11</v>
      </c>
      <c r="AF18" s="3"/>
      <c r="AG18" s="3"/>
      <c r="AH18" s="3"/>
      <c r="AI18" s="3"/>
      <c r="AJ18" s="3"/>
      <c r="AK18" s="3"/>
      <c r="AL18" s="3"/>
      <c r="AM18" s="3"/>
      <c r="AN18" s="3"/>
      <c r="AO18" s="3"/>
    </row>
    <row r="19" spans="2:41" ht="13.5" customHeight="1" x14ac:dyDescent="0.25">
      <c r="B19" s="18"/>
      <c r="C19" s="162"/>
      <c r="D19" s="167" t="s">
        <v>253</v>
      </c>
      <c r="E19" s="167"/>
      <c r="F19" s="355">
        <f>IF(F17=H17,VLOOKUP(F10,bindingstoelage,3,FALSE),0)+IF(F17=H17,IF(F16="LA",tabellen!C130,IF(F16="LB",tabellen!C131,IF(F16="LC",tabellen!C132,IF(F16="LD",tabellen!C133,0)))),0)+IF(F17=H17,IF(OR(F16="LA",F16="LB"),tabellen!#REF!,0),0)</f>
        <v>0</v>
      </c>
      <c r="G19" s="356"/>
      <c r="H19" s="357"/>
      <c r="I19" s="169"/>
      <c r="J19" s="22"/>
      <c r="K19" s="38"/>
      <c r="L19" s="383" t="str">
        <f t="shared" si="5"/>
        <v>L11</v>
      </c>
      <c r="M19" s="384">
        <f t="shared" si="0"/>
        <v>23</v>
      </c>
      <c r="N19" s="384"/>
      <c r="O19" s="384" t="str">
        <f t="shared" si="1"/>
        <v>L10</v>
      </c>
      <c r="P19" s="384">
        <f t="shared" si="6"/>
        <v>24</v>
      </c>
      <c r="Q19" s="384"/>
      <c r="R19" s="386">
        <f t="shared" si="2"/>
        <v>85132.800000000003</v>
      </c>
      <c r="S19" s="386">
        <f t="shared" si="3"/>
        <v>78969.600000000006</v>
      </c>
      <c r="T19" s="384"/>
      <c r="U19" s="386">
        <f t="shared" si="4"/>
        <v>6163.1999999999971</v>
      </c>
      <c r="V19" s="384"/>
      <c r="W19" s="385">
        <v>15</v>
      </c>
      <c r="X19" s="38"/>
      <c r="Y19" s="517" t="s">
        <v>12</v>
      </c>
      <c r="AF19" s="3"/>
      <c r="AG19" s="3"/>
      <c r="AH19" s="3"/>
      <c r="AI19" s="3"/>
      <c r="AJ19" s="3"/>
      <c r="AK19" s="3"/>
      <c r="AL19" s="3"/>
      <c r="AM19" s="3"/>
      <c r="AN19" s="3"/>
      <c r="AO19" s="3"/>
    </row>
    <row r="20" spans="2:41" ht="13.5" customHeight="1" x14ac:dyDescent="0.25">
      <c r="B20" s="18"/>
      <c r="C20" s="162"/>
      <c r="D20" s="178" t="s">
        <v>20</v>
      </c>
      <c r="E20" s="167"/>
      <c r="F20" s="336">
        <v>1</v>
      </c>
      <c r="G20" s="334"/>
      <c r="H20" s="335"/>
      <c r="I20" s="169"/>
      <c r="J20" s="22"/>
      <c r="K20" s="38"/>
      <c r="L20" s="383" t="str">
        <f t="shared" si="5"/>
        <v>L11</v>
      </c>
      <c r="M20" s="384">
        <f t="shared" si="0"/>
        <v>24</v>
      </c>
      <c r="N20" s="384"/>
      <c r="O20" s="384" t="str">
        <f t="shared" si="1"/>
        <v>L10</v>
      </c>
      <c r="P20" s="384">
        <f t="shared" si="6"/>
        <v>25</v>
      </c>
      <c r="Q20" s="384"/>
      <c r="R20" s="386">
        <f t="shared" si="2"/>
        <v>85132.800000000003</v>
      </c>
      <c r="S20" s="386">
        <f t="shared" si="3"/>
        <v>78969.600000000006</v>
      </c>
      <c r="T20" s="384"/>
      <c r="U20" s="386">
        <f t="shared" si="4"/>
        <v>6163.1999999999971</v>
      </c>
      <c r="V20" s="384"/>
      <c r="W20" s="385">
        <v>16</v>
      </c>
      <c r="X20" s="38"/>
      <c r="Y20" s="517" t="s">
        <v>13</v>
      </c>
      <c r="AF20" s="3"/>
      <c r="AG20" s="3"/>
      <c r="AH20" s="3"/>
      <c r="AI20" s="3"/>
      <c r="AJ20" s="3"/>
      <c r="AK20" s="3"/>
      <c r="AL20" s="3"/>
      <c r="AM20" s="3"/>
      <c r="AN20" s="3"/>
      <c r="AO20" s="3"/>
    </row>
    <row r="21" spans="2:41" ht="13.5" customHeight="1" x14ac:dyDescent="0.25">
      <c r="B21" s="18"/>
      <c r="C21" s="162"/>
      <c r="D21" s="167" t="s">
        <v>21</v>
      </c>
      <c r="E21" s="167"/>
      <c r="F21" s="296">
        <f>ROUND(+(F18+F19)*F20,2)</f>
        <v>3419</v>
      </c>
      <c r="G21" s="334"/>
      <c r="H21" s="335"/>
      <c r="I21" s="169"/>
      <c r="J21" s="22"/>
      <c r="K21" s="38"/>
      <c r="L21" s="383" t="str">
        <f t="shared" si="5"/>
        <v>L11</v>
      </c>
      <c r="M21" s="384">
        <f t="shared" si="0"/>
        <v>25</v>
      </c>
      <c r="N21" s="384"/>
      <c r="O21" s="384" t="str">
        <f t="shared" si="1"/>
        <v>L10</v>
      </c>
      <c r="P21" s="384">
        <f t="shared" si="6"/>
        <v>26</v>
      </c>
      <c r="Q21" s="384"/>
      <c r="R21" s="386">
        <f t="shared" si="2"/>
        <v>85132.800000000003</v>
      </c>
      <c r="S21" s="386">
        <f t="shared" si="3"/>
        <v>78969.600000000006</v>
      </c>
      <c r="T21" s="384"/>
      <c r="U21" s="386">
        <f t="shared" si="4"/>
        <v>6163.1999999999971</v>
      </c>
      <c r="V21" s="384"/>
      <c r="W21" s="385">
        <v>17</v>
      </c>
      <c r="X21" s="38"/>
      <c r="Y21" s="518" t="s">
        <v>327</v>
      </c>
      <c r="AF21" s="3"/>
      <c r="AG21" s="3"/>
      <c r="AH21" s="3"/>
      <c r="AI21" s="3"/>
      <c r="AJ21" s="3"/>
      <c r="AK21" s="3"/>
      <c r="AL21" s="3"/>
      <c r="AM21" s="3"/>
      <c r="AN21" s="3"/>
      <c r="AO21" s="3"/>
    </row>
    <row r="22" spans="2:41" ht="13.5" customHeight="1" x14ac:dyDescent="0.25">
      <c r="B22" s="18"/>
      <c r="C22" s="162"/>
      <c r="D22" s="167"/>
      <c r="E22" s="167"/>
      <c r="F22" s="295"/>
      <c r="G22" s="334"/>
      <c r="H22" s="335"/>
      <c r="I22" s="169"/>
      <c r="J22" s="22"/>
      <c r="K22" s="38"/>
      <c r="L22" s="383" t="str">
        <f t="shared" si="5"/>
        <v>L11</v>
      </c>
      <c r="M22" s="384">
        <f t="shared" si="0"/>
        <v>26</v>
      </c>
      <c r="N22" s="384"/>
      <c r="O22" s="384" t="str">
        <f t="shared" si="1"/>
        <v>L10</v>
      </c>
      <c r="P22" s="384">
        <f t="shared" si="6"/>
        <v>27</v>
      </c>
      <c r="Q22" s="384"/>
      <c r="R22" s="386">
        <f t="shared" si="2"/>
        <v>85132.800000000003</v>
      </c>
      <c r="S22" s="386">
        <f t="shared" si="3"/>
        <v>78969.600000000006</v>
      </c>
      <c r="T22" s="384"/>
      <c r="U22" s="386">
        <f t="shared" si="4"/>
        <v>6163.1999999999971</v>
      </c>
      <c r="V22" s="384"/>
      <c r="W22" s="385">
        <v>18</v>
      </c>
      <c r="X22" s="38"/>
      <c r="Y22" s="518" t="s">
        <v>328</v>
      </c>
      <c r="AF22" s="3"/>
      <c r="AG22" s="3"/>
      <c r="AH22" s="3"/>
      <c r="AI22" s="3"/>
      <c r="AJ22" s="3"/>
      <c r="AK22" s="3"/>
      <c r="AL22" s="3"/>
      <c r="AM22" s="3"/>
      <c r="AN22" s="3"/>
      <c r="AO22" s="3"/>
    </row>
    <row r="23" spans="2:41" ht="13.5" customHeight="1" x14ac:dyDescent="0.25">
      <c r="B23" s="18"/>
      <c r="C23" s="162"/>
      <c r="D23" s="178" t="s">
        <v>135</v>
      </c>
      <c r="E23" s="167"/>
      <c r="F23" s="174">
        <v>45</v>
      </c>
      <c r="G23" s="334"/>
      <c r="H23" s="335"/>
      <c r="I23" s="169"/>
      <c r="J23" s="22"/>
      <c r="K23" s="38"/>
      <c r="L23" s="383" t="str">
        <f t="shared" si="5"/>
        <v>L11</v>
      </c>
      <c r="M23" s="384">
        <f t="shared" si="0"/>
        <v>27</v>
      </c>
      <c r="N23" s="384"/>
      <c r="O23" s="384" t="str">
        <f t="shared" si="1"/>
        <v>L10</v>
      </c>
      <c r="P23" s="384">
        <f t="shared" si="6"/>
        <v>28</v>
      </c>
      <c r="Q23" s="384"/>
      <c r="R23" s="386">
        <f t="shared" si="2"/>
        <v>85132.800000000003</v>
      </c>
      <c r="S23" s="386">
        <f t="shared" si="3"/>
        <v>78969.600000000006</v>
      </c>
      <c r="T23" s="384"/>
      <c r="U23" s="386">
        <f t="shared" si="4"/>
        <v>6163.1999999999971</v>
      </c>
      <c r="V23" s="384"/>
      <c r="W23" s="385">
        <v>19</v>
      </c>
      <c r="X23" s="38"/>
      <c r="Y23" s="518" t="s">
        <v>329</v>
      </c>
      <c r="AF23" s="3"/>
      <c r="AG23" s="3"/>
      <c r="AH23" s="3"/>
      <c r="AI23" s="3"/>
      <c r="AJ23" s="3"/>
      <c r="AK23" s="3"/>
      <c r="AL23" s="3"/>
      <c r="AM23" s="3"/>
      <c r="AN23" s="3"/>
      <c r="AO23" s="3"/>
    </row>
    <row r="24" spans="2:41" ht="13.5" customHeight="1" x14ac:dyDescent="0.25">
      <c r="B24" s="18"/>
      <c r="C24" s="162"/>
      <c r="D24" s="167" t="s">
        <v>136</v>
      </c>
      <c r="E24" s="167"/>
      <c r="F24" s="174">
        <v>66</v>
      </c>
      <c r="G24" s="334"/>
      <c r="H24" s="335"/>
      <c r="I24" s="169"/>
      <c r="J24" s="22"/>
      <c r="K24" s="38"/>
      <c r="L24" s="383" t="str">
        <f t="shared" si="5"/>
        <v>L11</v>
      </c>
      <c r="M24" s="384">
        <f t="shared" si="0"/>
        <v>28</v>
      </c>
      <c r="N24" s="384"/>
      <c r="O24" s="384" t="str">
        <f t="shared" si="1"/>
        <v>L10</v>
      </c>
      <c r="P24" s="384">
        <f t="shared" si="6"/>
        <v>29</v>
      </c>
      <c r="Q24" s="384"/>
      <c r="R24" s="386">
        <f t="shared" si="2"/>
        <v>85132.800000000003</v>
      </c>
      <c r="S24" s="386">
        <f t="shared" si="3"/>
        <v>78969.600000000006</v>
      </c>
      <c r="T24" s="384"/>
      <c r="U24" s="386">
        <f t="shared" si="4"/>
        <v>6163.1999999999971</v>
      </c>
      <c r="V24" s="384"/>
      <c r="W24" s="385">
        <v>20</v>
      </c>
      <c r="X24" s="38"/>
      <c r="Y24" s="518" t="s">
        <v>330</v>
      </c>
      <c r="AF24" s="3"/>
      <c r="AG24" s="3"/>
      <c r="AH24" s="3"/>
      <c r="AI24" s="3"/>
      <c r="AJ24" s="3"/>
      <c r="AK24" s="3"/>
      <c r="AL24" s="3"/>
      <c r="AM24" s="3"/>
      <c r="AN24" s="3"/>
      <c r="AO24" s="3"/>
    </row>
    <row r="25" spans="2:41" ht="13.5" customHeight="1" x14ac:dyDescent="0.25">
      <c r="B25" s="18"/>
      <c r="C25" s="206"/>
      <c r="D25" s="207"/>
      <c r="E25" s="207"/>
      <c r="F25" s="358"/>
      <c r="G25" s="359"/>
      <c r="H25" s="360"/>
      <c r="I25" s="239"/>
      <c r="J25" s="22"/>
      <c r="K25" s="38"/>
      <c r="L25" s="383" t="str">
        <f t="shared" si="5"/>
        <v>L11</v>
      </c>
      <c r="M25" s="384">
        <f t="shared" si="0"/>
        <v>29</v>
      </c>
      <c r="N25" s="384"/>
      <c r="O25" s="384" t="str">
        <f t="shared" si="1"/>
        <v>L10</v>
      </c>
      <c r="P25" s="384">
        <f t="shared" si="6"/>
        <v>30</v>
      </c>
      <c r="Q25" s="384"/>
      <c r="R25" s="386">
        <f t="shared" si="2"/>
        <v>0</v>
      </c>
      <c r="S25" s="386">
        <f t="shared" si="3"/>
        <v>0</v>
      </c>
      <c r="T25" s="384"/>
      <c r="U25" s="386">
        <f t="shared" si="4"/>
        <v>0</v>
      </c>
      <c r="V25" s="384"/>
      <c r="W25" s="385">
        <v>21</v>
      </c>
      <c r="X25" s="38"/>
      <c r="Y25" s="518" t="s">
        <v>331</v>
      </c>
      <c r="AF25" s="3"/>
      <c r="AG25" s="3"/>
      <c r="AH25" s="3"/>
      <c r="AI25" s="3"/>
      <c r="AJ25" s="3"/>
      <c r="AK25" s="3"/>
      <c r="AL25" s="3"/>
      <c r="AM25" s="3"/>
      <c r="AN25" s="3"/>
      <c r="AO25" s="3"/>
    </row>
    <row r="26" spans="2:41" ht="13.5" customHeight="1" x14ac:dyDescent="0.25">
      <c r="B26" s="18"/>
      <c r="C26" s="19"/>
      <c r="D26" s="19"/>
      <c r="E26" s="19"/>
      <c r="F26" s="29"/>
      <c r="G26" s="154"/>
      <c r="H26" s="153"/>
      <c r="I26" s="19"/>
      <c r="J26" s="22"/>
      <c r="K26" s="38"/>
      <c r="L26" s="383" t="str">
        <f t="shared" si="5"/>
        <v>L11</v>
      </c>
      <c r="M26" s="384">
        <f t="shared" si="0"/>
        <v>30</v>
      </c>
      <c r="N26" s="384"/>
      <c r="O26" s="384" t="str">
        <f t="shared" si="1"/>
        <v>L10</v>
      </c>
      <c r="P26" s="384">
        <f t="shared" si="6"/>
        <v>31</v>
      </c>
      <c r="Q26" s="384"/>
      <c r="R26" s="386">
        <f t="shared" si="2"/>
        <v>0</v>
      </c>
      <c r="S26" s="386">
        <f t="shared" si="3"/>
        <v>0</v>
      </c>
      <c r="T26" s="384"/>
      <c r="U26" s="386">
        <f t="shared" si="4"/>
        <v>0</v>
      </c>
      <c r="V26" s="384"/>
      <c r="W26" s="385">
        <v>22</v>
      </c>
      <c r="X26" s="38"/>
      <c r="Y26" s="517" t="s">
        <v>14</v>
      </c>
      <c r="AF26" s="3"/>
      <c r="AG26" s="3"/>
      <c r="AH26" s="3"/>
      <c r="AI26" s="3"/>
      <c r="AJ26" s="3"/>
      <c r="AK26" s="3"/>
      <c r="AL26" s="3"/>
      <c r="AM26" s="3"/>
      <c r="AN26" s="3"/>
      <c r="AO26" s="3"/>
    </row>
    <row r="27" spans="2:41" ht="13.5" customHeight="1" x14ac:dyDescent="0.25">
      <c r="B27" s="18"/>
      <c r="C27" s="155"/>
      <c r="D27" s="156"/>
      <c r="E27" s="156"/>
      <c r="F27" s="352"/>
      <c r="G27" s="361"/>
      <c r="H27" s="362"/>
      <c r="I27" s="161"/>
      <c r="J27" s="22"/>
      <c r="K27" s="38"/>
      <c r="L27" s="383" t="str">
        <f t="shared" si="5"/>
        <v>L11</v>
      </c>
      <c r="M27" s="384">
        <f t="shared" si="0"/>
        <v>31</v>
      </c>
      <c r="N27" s="384"/>
      <c r="O27" s="384" t="str">
        <f t="shared" si="1"/>
        <v>L10</v>
      </c>
      <c r="P27" s="384">
        <f t="shared" si="6"/>
        <v>32</v>
      </c>
      <c r="Q27" s="384"/>
      <c r="R27" s="386">
        <f t="shared" si="2"/>
        <v>0</v>
      </c>
      <c r="S27" s="386">
        <f t="shared" si="3"/>
        <v>0</v>
      </c>
      <c r="T27" s="384"/>
      <c r="U27" s="386">
        <f t="shared" si="4"/>
        <v>0</v>
      </c>
      <c r="V27" s="384"/>
      <c r="W27" s="385">
        <v>23</v>
      </c>
      <c r="X27" s="38"/>
      <c r="Y27" s="517" t="s">
        <v>15</v>
      </c>
      <c r="AF27" s="3"/>
      <c r="AG27" s="3"/>
      <c r="AH27" s="3"/>
      <c r="AI27" s="3"/>
      <c r="AJ27" s="3"/>
      <c r="AK27" s="3"/>
      <c r="AL27" s="3"/>
      <c r="AM27" s="3"/>
      <c r="AN27" s="3"/>
      <c r="AO27" s="3"/>
    </row>
    <row r="28" spans="2:41" ht="13.5" customHeight="1" x14ac:dyDescent="0.25">
      <c r="B28" s="18"/>
      <c r="C28" s="162"/>
      <c r="D28" s="163" t="s">
        <v>137</v>
      </c>
      <c r="E28" s="167"/>
      <c r="F28" s="166"/>
      <c r="G28" s="334"/>
      <c r="H28" s="335"/>
      <c r="I28" s="169"/>
      <c r="J28" s="22"/>
      <c r="K28" s="38"/>
      <c r="L28" s="383" t="str">
        <f t="shared" si="5"/>
        <v>L11</v>
      </c>
      <c r="M28" s="384">
        <f t="shared" si="0"/>
        <v>32</v>
      </c>
      <c r="N28" s="384"/>
      <c r="O28" s="384" t="str">
        <f t="shared" si="1"/>
        <v>L10</v>
      </c>
      <c r="P28" s="384">
        <f t="shared" si="6"/>
        <v>33</v>
      </c>
      <c r="Q28" s="384"/>
      <c r="R28" s="386">
        <f t="shared" si="2"/>
        <v>0</v>
      </c>
      <c r="S28" s="386">
        <f t="shared" si="3"/>
        <v>0</v>
      </c>
      <c r="T28" s="384"/>
      <c r="U28" s="386">
        <f t="shared" si="4"/>
        <v>0</v>
      </c>
      <c r="V28" s="384"/>
      <c r="W28" s="385">
        <v>24</v>
      </c>
      <c r="X28" s="38"/>
      <c r="Y28" s="517">
        <v>1</v>
      </c>
      <c r="AF28" s="3"/>
      <c r="AG28" s="3"/>
      <c r="AH28" s="3"/>
      <c r="AI28" s="3"/>
      <c r="AJ28" s="3"/>
      <c r="AK28" s="3"/>
      <c r="AL28" s="3"/>
      <c r="AM28" s="3"/>
      <c r="AN28" s="3"/>
      <c r="AO28" s="3"/>
    </row>
    <row r="29" spans="2:41" ht="13.5" customHeight="1" x14ac:dyDescent="0.25">
      <c r="B29" s="18"/>
      <c r="C29" s="162"/>
      <c r="D29" s="178"/>
      <c r="E29" s="167"/>
      <c r="F29" s="166"/>
      <c r="G29" s="334"/>
      <c r="H29" s="335"/>
      <c r="I29" s="169"/>
      <c r="J29" s="22"/>
      <c r="K29" s="38"/>
      <c r="L29" s="383" t="str">
        <f t="shared" si="5"/>
        <v>L11</v>
      </c>
      <c r="M29" s="384">
        <f t="shared" si="0"/>
        <v>33</v>
      </c>
      <c r="N29" s="384"/>
      <c r="O29" s="384" t="str">
        <f t="shared" si="1"/>
        <v>L10</v>
      </c>
      <c r="P29" s="384">
        <f t="shared" si="6"/>
        <v>34</v>
      </c>
      <c r="Q29" s="384"/>
      <c r="R29" s="386">
        <f t="shared" si="2"/>
        <v>0</v>
      </c>
      <c r="S29" s="386">
        <f t="shared" si="3"/>
        <v>0</v>
      </c>
      <c r="T29" s="384"/>
      <c r="U29" s="386">
        <f t="shared" si="4"/>
        <v>0</v>
      </c>
      <c r="V29" s="384"/>
      <c r="W29" s="385">
        <v>25</v>
      </c>
      <c r="X29" s="38"/>
      <c r="Y29" s="517"/>
      <c r="AF29" s="3"/>
      <c r="AG29" s="3"/>
      <c r="AH29" s="3"/>
      <c r="AI29" s="3"/>
      <c r="AJ29" s="3"/>
      <c r="AK29" s="3"/>
      <c r="AL29" s="3"/>
      <c r="AM29" s="3"/>
      <c r="AN29" s="3"/>
      <c r="AO29" s="3"/>
    </row>
    <row r="30" spans="2:41" ht="13.5" customHeight="1" x14ac:dyDescent="0.25">
      <c r="B30" s="18"/>
      <c r="C30" s="162"/>
      <c r="D30" s="167" t="s">
        <v>16</v>
      </c>
      <c r="E30" s="167"/>
      <c r="F30" s="354" t="s">
        <v>328</v>
      </c>
      <c r="G30" s="334"/>
      <c r="H30" s="335"/>
      <c r="I30" s="169"/>
      <c r="J30" s="22"/>
      <c r="K30" s="38"/>
      <c r="L30" s="383" t="str">
        <f t="shared" si="5"/>
        <v>L11</v>
      </c>
      <c r="M30" s="384">
        <f t="shared" si="0"/>
        <v>34</v>
      </c>
      <c r="N30" s="384"/>
      <c r="O30" s="384" t="str">
        <f t="shared" si="1"/>
        <v>L10</v>
      </c>
      <c r="P30" s="384">
        <f t="shared" si="6"/>
        <v>35</v>
      </c>
      <c r="Q30" s="384"/>
      <c r="R30" s="386">
        <f t="shared" si="2"/>
        <v>0</v>
      </c>
      <c r="S30" s="386">
        <f t="shared" si="3"/>
        <v>0</v>
      </c>
      <c r="T30" s="384"/>
      <c r="U30" s="386">
        <f t="shared" ref="U30" si="7">+R30-S30</f>
        <v>0</v>
      </c>
      <c r="V30" s="384"/>
      <c r="W30" s="385">
        <v>26</v>
      </c>
      <c r="X30" s="38"/>
      <c r="Y30" s="517">
        <v>3</v>
      </c>
      <c r="AF30" s="3"/>
      <c r="AG30" s="3"/>
      <c r="AH30" s="3"/>
      <c r="AI30" s="3"/>
      <c r="AJ30" s="3"/>
      <c r="AK30" s="3"/>
      <c r="AL30" s="3"/>
      <c r="AM30" s="3"/>
      <c r="AN30" s="3"/>
      <c r="AO30" s="3"/>
    </row>
    <row r="31" spans="2:41" ht="13.5" customHeight="1" x14ac:dyDescent="0.25">
      <c r="B31" s="18"/>
      <c r="C31" s="162"/>
      <c r="D31" s="168" t="s">
        <v>17</v>
      </c>
      <c r="E31" s="167"/>
      <c r="F31" s="174">
        <v>8</v>
      </c>
      <c r="G31" s="334" t="s">
        <v>134</v>
      </c>
      <c r="H31" s="335">
        <f>VLOOKUP(F30,salaris2020,22,FALSE)</f>
        <v>15</v>
      </c>
      <c r="I31" s="169"/>
      <c r="J31" s="22"/>
      <c r="K31" s="374"/>
      <c r="L31" s="383" t="str">
        <f t="shared" si="5"/>
        <v>L11</v>
      </c>
      <c r="M31" s="384">
        <f t="shared" si="0"/>
        <v>35</v>
      </c>
      <c r="N31" s="384"/>
      <c r="O31" s="384" t="str">
        <f t="shared" si="1"/>
        <v>L10</v>
      </c>
      <c r="P31" s="384">
        <f t="shared" si="6"/>
        <v>36</v>
      </c>
      <c r="Q31" s="384"/>
      <c r="R31" s="386">
        <f t="shared" si="2"/>
        <v>0</v>
      </c>
      <c r="S31" s="386">
        <f t="shared" si="3"/>
        <v>0</v>
      </c>
      <c r="T31" s="384"/>
      <c r="U31" s="386">
        <f t="shared" si="4"/>
        <v>0</v>
      </c>
      <c r="V31" s="384"/>
      <c r="W31" s="385">
        <v>27</v>
      </c>
      <c r="X31" s="374"/>
      <c r="Y31" s="517">
        <v>4</v>
      </c>
      <c r="Z31" s="3"/>
      <c r="AA31" s="3"/>
      <c r="AF31" s="3"/>
      <c r="AG31" s="3"/>
      <c r="AH31" s="3"/>
      <c r="AI31" s="3"/>
      <c r="AJ31" s="3"/>
      <c r="AK31" s="3"/>
      <c r="AL31" s="3"/>
      <c r="AM31" s="3"/>
      <c r="AN31" s="3"/>
      <c r="AO31" s="3"/>
    </row>
    <row r="32" spans="2:41" ht="13.5" customHeight="1" x14ac:dyDescent="0.25">
      <c r="B32" s="18"/>
      <c r="C32" s="162"/>
      <c r="D32" s="168" t="s">
        <v>19</v>
      </c>
      <c r="E32" s="167"/>
      <c r="F32" s="275">
        <f>VLOOKUP(F30,salaris2020,IF(F31&gt;15,16,F31+1),FALSE)</f>
        <v>3481</v>
      </c>
      <c r="G32" s="168"/>
      <c r="H32" s="168"/>
      <c r="I32" s="337"/>
      <c r="J32" s="32"/>
      <c r="K32" s="374"/>
      <c r="L32" s="383" t="str">
        <f t="shared" si="5"/>
        <v>L11</v>
      </c>
      <c r="M32" s="384">
        <f t="shared" si="0"/>
        <v>36</v>
      </c>
      <c r="N32" s="384"/>
      <c r="O32" s="384" t="str">
        <f t="shared" si="1"/>
        <v>L10</v>
      </c>
      <c r="P32" s="384">
        <f t="shared" si="6"/>
        <v>37</v>
      </c>
      <c r="Q32" s="384"/>
      <c r="R32" s="386">
        <f t="shared" si="2"/>
        <v>0</v>
      </c>
      <c r="S32" s="386">
        <f t="shared" si="3"/>
        <v>0</v>
      </c>
      <c r="T32" s="384"/>
      <c r="U32" s="386">
        <f t="shared" si="4"/>
        <v>0</v>
      </c>
      <c r="V32" s="384"/>
      <c r="W32" s="385">
        <v>28</v>
      </c>
      <c r="X32" s="374"/>
      <c r="Y32" s="517">
        <v>5</v>
      </c>
      <c r="Z32" s="3"/>
      <c r="AA32" s="3"/>
      <c r="AF32" s="3"/>
      <c r="AG32" s="3"/>
      <c r="AH32" s="3"/>
      <c r="AI32" s="3"/>
      <c r="AJ32" s="3"/>
      <c r="AK32" s="3"/>
      <c r="AL32" s="3"/>
      <c r="AM32" s="3"/>
      <c r="AN32" s="3"/>
      <c r="AO32" s="3"/>
    </row>
    <row r="33" spans="2:41" ht="13.5" customHeight="1" x14ac:dyDescent="0.25">
      <c r="B33" s="18"/>
      <c r="C33" s="162"/>
      <c r="D33" s="167"/>
      <c r="E33" s="168"/>
      <c r="F33" s="274"/>
      <c r="G33" s="168"/>
      <c r="H33" s="168"/>
      <c r="I33" s="337"/>
      <c r="J33" s="32"/>
      <c r="K33" s="374"/>
      <c r="L33" s="383" t="str">
        <f t="shared" si="5"/>
        <v>L11</v>
      </c>
      <c r="M33" s="384">
        <f t="shared" si="0"/>
        <v>37</v>
      </c>
      <c r="N33" s="384"/>
      <c r="O33" s="384" t="str">
        <f t="shared" si="1"/>
        <v>L10</v>
      </c>
      <c r="P33" s="384">
        <f t="shared" si="6"/>
        <v>38</v>
      </c>
      <c r="Q33" s="384"/>
      <c r="R33" s="386">
        <f t="shared" si="2"/>
        <v>0</v>
      </c>
      <c r="S33" s="386">
        <f t="shared" si="3"/>
        <v>0</v>
      </c>
      <c r="T33" s="384"/>
      <c r="U33" s="386">
        <f t="shared" si="4"/>
        <v>0</v>
      </c>
      <c r="V33" s="384"/>
      <c r="W33" s="385">
        <v>29</v>
      </c>
      <c r="X33" s="374"/>
      <c r="Y33" s="517">
        <v>6</v>
      </c>
      <c r="Z33" s="3"/>
      <c r="AA33" s="3"/>
      <c r="AF33" s="3"/>
      <c r="AG33" s="3"/>
      <c r="AH33" s="3"/>
      <c r="AI33" s="3"/>
      <c r="AJ33" s="3"/>
      <c r="AK33" s="3"/>
      <c r="AL33" s="3"/>
      <c r="AM33" s="3"/>
      <c r="AN33" s="3"/>
      <c r="AO33" s="3"/>
    </row>
    <row r="34" spans="2:41" ht="13.5" customHeight="1" x14ac:dyDescent="0.25">
      <c r="B34" s="18"/>
      <c r="C34" s="162"/>
      <c r="D34" s="178" t="s">
        <v>226</v>
      </c>
      <c r="E34" s="168"/>
      <c r="F34" s="363" t="s">
        <v>105</v>
      </c>
      <c r="G34" s="168"/>
      <c r="H34" s="168"/>
      <c r="I34" s="337"/>
      <c r="J34" s="32"/>
      <c r="K34" s="374"/>
      <c r="L34" s="383" t="str">
        <f t="shared" si="5"/>
        <v>L11</v>
      </c>
      <c r="M34" s="384">
        <f t="shared" si="0"/>
        <v>38</v>
      </c>
      <c r="N34" s="384"/>
      <c r="O34" s="384" t="str">
        <f t="shared" si="1"/>
        <v>L10</v>
      </c>
      <c r="P34" s="384">
        <f t="shared" si="6"/>
        <v>39</v>
      </c>
      <c r="Q34" s="384"/>
      <c r="R34" s="386">
        <f t="shared" si="2"/>
        <v>0</v>
      </c>
      <c r="S34" s="386">
        <f t="shared" si="3"/>
        <v>0</v>
      </c>
      <c r="T34" s="384"/>
      <c r="U34" s="386">
        <f t="shared" si="4"/>
        <v>0</v>
      </c>
      <c r="V34" s="384"/>
      <c r="W34" s="385">
        <v>30</v>
      </c>
      <c r="X34" s="374"/>
      <c r="Y34" s="517">
        <v>7</v>
      </c>
      <c r="Z34" s="3"/>
      <c r="AA34" s="3"/>
      <c r="AF34" s="3"/>
      <c r="AG34" s="3"/>
      <c r="AH34" s="3"/>
      <c r="AI34" s="3"/>
      <c r="AJ34" s="3"/>
      <c r="AK34" s="3"/>
      <c r="AL34" s="3"/>
      <c r="AM34" s="3"/>
      <c r="AN34" s="3"/>
      <c r="AO34" s="3"/>
    </row>
    <row r="35" spans="2:41" ht="13.5" customHeight="1" x14ac:dyDescent="0.25">
      <c r="B35" s="18"/>
      <c r="C35" s="162"/>
      <c r="D35" s="168" t="s">
        <v>138</v>
      </c>
      <c r="E35" s="167"/>
      <c r="F35" s="363">
        <v>0</v>
      </c>
      <c r="G35" s="168"/>
      <c r="H35" s="168"/>
      <c r="I35" s="337"/>
      <c r="J35" s="32"/>
      <c r="K35" s="374"/>
      <c r="L35" s="383" t="str">
        <f t="shared" si="5"/>
        <v>L11</v>
      </c>
      <c r="M35" s="384">
        <f t="shared" si="0"/>
        <v>39</v>
      </c>
      <c r="N35" s="384"/>
      <c r="O35" s="384" t="str">
        <f t="shared" si="1"/>
        <v>L10</v>
      </c>
      <c r="P35" s="384">
        <f t="shared" si="6"/>
        <v>40</v>
      </c>
      <c r="Q35" s="384"/>
      <c r="R35" s="386">
        <f t="shared" si="2"/>
        <v>0</v>
      </c>
      <c r="S35" s="386">
        <f t="shared" si="3"/>
        <v>0</v>
      </c>
      <c r="T35" s="384"/>
      <c r="U35" s="386">
        <f t="shared" si="4"/>
        <v>0</v>
      </c>
      <c r="V35" s="384"/>
      <c r="W35" s="385">
        <v>31</v>
      </c>
      <c r="X35" s="374"/>
      <c r="Y35" s="517">
        <v>8</v>
      </c>
      <c r="Z35" s="3"/>
      <c r="AA35" s="3"/>
    </row>
    <row r="36" spans="2:41" ht="13.5" customHeight="1" x14ac:dyDescent="0.25">
      <c r="B36" s="18"/>
      <c r="C36" s="162"/>
      <c r="D36" s="167" t="s">
        <v>21</v>
      </c>
      <c r="E36" s="167"/>
      <c r="F36" s="364">
        <f>ROUND(IF(F34="ja",F32*F35,F32*F20),2)</f>
        <v>3481</v>
      </c>
      <c r="G36" s="168"/>
      <c r="H36" s="168"/>
      <c r="I36" s="337"/>
      <c r="J36" s="32"/>
      <c r="K36" s="374"/>
      <c r="L36" s="383" t="str">
        <f t="shared" si="5"/>
        <v>L11</v>
      </c>
      <c r="M36" s="384">
        <f t="shared" si="0"/>
        <v>40</v>
      </c>
      <c r="N36" s="384"/>
      <c r="O36" s="384" t="str">
        <f t="shared" si="1"/>
        <v>L10</v>
      </c>
      <c r="P36" s="384">
        <f t="shared" si="6"/>
        <v>41</v>
      </c>
      <c r="Q36" s="384"/>
      <c r="R36" s="386">
        <f t="shared" si="2"/>
        <v>0</v>
      </c>
      <c r="S36" s="386">
        <f t="shared" si="3"/>
        <v>0</v>
      </c>
      <c r="T36" s="384"/>
      <c r="U36" s="386">
        <f t="shared" si="4"/>
        <v>0</v>
      </c>
      <c r="V36" s="384"/>
      <c r="W36" s="385">
        <v>32</v>
      </c>
      <c r="X36" s="374"/>
      <c r="Y36" s="517">
        <v>9</v>
      </c>
      <c r="Z36" s="3"/>
      <c r="AA36" s="3"/>
    </row>
    <row r="37" spans="2:41" ht="13.5" customHeight="1" x14ac:dyDescent="0.25">
      <c r="B37" s="18"/>
      <c r="C37" s="206"/>
      <c r="D37" s="207"/>
      <c r="E37" s="207"/>
      <c r="F37" s="210"/>
      <c r="G37" s="279"/>
      <c r="H37" s="279"/>
      <c r="I37" s="338"/>
      <c r="J37" s="32"/>
      <c r="K37" s="374"/>
      <c r="L37" s="383" t="str">
        <f t="shared" si="5"/>
        <v>L11</v>
      </c>
      <c r="M37" s="384">
        <f t="shared" si="0"/>
        <v>41</v>
      </c>
      <c r="N37" s="384"/>
      <c r="O37" s="384" t="str">
        <f t="shared" si="1"/>
        <v>L10</v>
      </c>
      <c r="P37" s="384">
        <f t="shared" si="6"/>
        <v>42</v>
      </c>
      <c r="Q37" s="384"/>
      <c r="R37" s="386">
        <f t="shared" si="2"/>
        <v>0</v>
      </c>
      <c r="S37" s="386">
        <f t="shared" si="3"/>
        <v>0</v>
      </c>
      <c r="T37" s="384"/>
      <c r="U37" s="386">
        <f t="shared" si="4"/>
        <v>0</v>
      </c>
      <c r="V37" s="384"/>
      <c r="W37" s="385">
        <v>33</v>
      </c>
      <c r="X37" s="374"/>
      <c r="Y37" s="517">
        <v>10</v>
      </c>
      <c r="Z37" s="3"/>
      <c r="AA37" s="3"/>
    </row>
    <row r="38" spans="2:41" ht="13.5" customHeight="1" x14ac:dyDescent="0.25">
      <c r="B38" s="18"/>
      <c r="C38" s="19"/>
      <c r="D38" s="19"/>
      <c r="E38" s="19"/>
      <c r="F38" s="21"/>
      <c r="G38" s="23"/>
      <c r="H38" s="23"/>
      <c r="I38" s="23"/>
      <c r="J38" s="32"/>
      <c r="K38" s="374"/>
      <c r="L38" s="383" t="str">
        <f t="shared" si="5"/>
        <v>L11</v>
      </c>
      <c r="M38" s="384">
        <f t="shared" si="0"/>
        <v>42</v>
      </c>
      <c r="N38" s="384"/>
      <c r="O38" s="384" t="str">
        <f t="shared" si="1"/>
        <v>L10</v>
      </c>
      <c r="P38" s="384">
        <f t="shared" si="6"/>
        <v>43</v>
      </c>
      <c r="Q38" s="384"/>
      <c r="R38" s="386">
        <f t="shared" si="2"/>
        <v>0</v>
      </c>
      <c r="S38" s="386">
        <f t="shared" si="3"/>
        <v>0</v>
      </c>
      <c r="T38" s="384"/>
      <c r="U38" s="386">
        <f t="shared" si="4"/>
        <v>0</v>
      </c>
      <c r="V38" s="384"/>
      <c r="W38" s="385">
        <v>34</v>
      </c>
      <c r="X38" s="374"/>
      <c r="Y38" s="517">
        <v>11</v>
      </c>
      <c r="Z38" s="3"/>
      <c r="AA38" s="3"/>
    </row>
    <row r="39" spans="2:41" ht="13.5" customHeight="1" x14ac:dyDescent="0.25">
      <c r="B39" s="18"/>
      <c r="C39" s="155"/>
      <c r="D39" s="156"/>
      <c r="E39" s="156"/>
      <c r="F39" s="159"/>
      <c r="G39" s="160"/>
      <c r="H39" s="160"/>
      <c r="I39" s="339"/>
      <c r="J39" s="32"/>
      <c r="K39" s="374"/>
      <c r="L39" s="383" t="str">
        <f t="shared" si="5"/>
        <v>L11</v>
      </c>
      <c r="M39" s="384">
        <f t="shared" si="0"/>
        <v>43</v>
      </c>
      <c r="N39" s="384"/>
      <c r="O39" s="384" t="str">
        <f t="shared" si="1"/>
        <v>L10</v>
      </c>
      <c r="P39" s="384">
        <f t="shared" si="6"/>
        <v>44</v>
      </c>
      <c r="Q39" s="384"/>
      <c r="R39" s="386">
        <f t="shared" si="2"/>
        <v>0</v>
      </c>
      <c r="S39" s="386">
        <f t="shared" si="3"/>
        <v>0</v>
      </c>
      <c r="T39" s="384"/>
      <c r="U39" s="386">
        <f t="shared" si="4"/>
        <v>0</v>
      </c>
      <c r="V39" s="384"/>
      <c r="W39" s="385">
        <v>35</v>
      </c>
      <c r="X39" s="374"/>
      <c r="Y39" s="517">
        <v>12</v>
      </c>
      <c r="Z39" s="3"/>
      <c r="AA39" s="3"/>
    </row>
    <row r="40" spans="2:41" ht="13.5" customHeight="1" x14ac:dyDescent="0.25">
      <c r="B40" s="18"/>
      <c r="C40" s="162"/>
      <c r="D40" s="163" t="s">
        <v>228</v>
      </c>
      <c r="E40" s="167"/>
      <c r="F40" s="166"/>
      <c r="G40" s="168"/>
      <c r="H40" s="168"/>
      <c r="I40" s="337"/>
      <c r="J40" s="32"/>
      <c r="K40" s="374"/>
      <c r="L40" s="383" t="str">
        <f t="shared" si="5"/>
        <v>L11</v>
      </c>
      <c r="M40" s="384">
        <f t="shared" si="0"/>
        <v>44</v>
      </c>
      <c r="N40" s="384"/>
      <c r="O40" s="384" t="str">
        <f t="shared" si="1"/>
        <v>L10</v>
      </c>
      <c r="P40" s="384">
        <f t="shared" si="6"/>
        <v>45</v>
      </c>
      <c r="Q40" s="384"/>
      <c r="R40" s="386">
        <f t="shared" si="2"/>
        <v>0</v>
      </c>
      <c r="S40" s="386">
        <f t="shared" si="3"/>
        <v>0</v>
      </c>
      <c r="T40" s="384"/>
      <c r="U40" s="386">
        <f t="shared" si="4"/>
        <v>0</v>
      </c>
      <c r="V40" s="384"/>
      <c r="W40" s="385">
        <v>36</v>
      </c>
      <c r="X40" s="374"/>
      <c r="Y40" s="517">
        <v>13</v>
      </c>
      <c r="Z40" s="3"/>
      <c r="AA40" s="3"/>
    </row>
    <row r="41" spans="2:41" ht="13.5" customHeight="1" x14ac:dyDescent="0.25">
      <c r="B41" s="18"/>
      <c r="C41" s="162"/>
      <c r="D41" s="167"/>
      <c r="E41" s="167"/>
      <c r="F41" s="166"/>
      <c r="G41" s="168"/>
      <c r="H41" s="168"/>
      <c r="I41" s="337"/>
      <c r="J41" s="32"/>
      <c r="K41" s="374"/>
      <c r="L41" s="383" t="str">
        <f t="shared" si="5"/>
        <v>L11</v>
      </c>
      <c r="M41" s="384">
        <f t="shared" si="0"/>
        <v>45</v>
      </c>
      <c r="N41" s="384"/>
      <c r="O41" s="384" t="str">
        <f t="shared" si="1"/>
        <v>L10</v>
      </c>
      <c r="P41" s="384">
        <f t="shared" si="6"/>
        <v>46</v>
      </c>
      <c r="Q41" s="384"/>
      <c r="R41" s="386">
        <f t="shared" si="2"/>
        <v>0</v>
      </c>
      <c r="S41" s="386">
        <f t="shared" si="3"/>
        <v>0</v>
      </c>
      <c r="T41" s="384"/>
      <c r="U41" s="386">
        <f t="shared" si="4"/>
        <v>0</v>
      </c>
      <c r="V41" s="384"/>
      <c r="W41" s="385">
        <v>37</v>
      </c>
      <c r="X41" s="374"/>
      <c r="Y41" s="517">
        <v>14</v>
      </c>
      <c r="Z41" s="3"/>
      <c r="AA41" s="3"/>
    </row>
    <row r="42" spans="2:41" ht="13.5" customHeight="1" x14ac:dyDescent="0.25">
      <c r="B42" s="18"/>
      <c r="C42" s="162"/>
      <c r="D42" s="167" t="s">
        <v>139</v>
      </c>
      <c r="E42" s="167"/>
      <c r="F42" s="296">
        <f>+F36-F21</f>
        <v>62</v>
      </c>
      <c r="G42" s="168"/>
      <c r="H42" s="168"/>
      <c r="I42" s="337"/>
      <c r="J42" s="32"/>
      <c r="K42" s="38"/>
      <c r="L42" s="383" t="str">
        <f t="shared" si="5"/>
        <v>L11</v>
      </c>
      <c r="M42" s="384">
        <f t="shared" si="0"/>
        <v>46</v>
      </c>
      <c r="N42" s="384"/>
      <c r="O42" s="384" t="str">
        <f t="shared" si="1"/>
        <v>L10</v>
      </c>
      <c r="P42" s="384">
        <f t="shared" si="6"/>
        <v>47</v>
      </c>
      <c r="Q42" s="384"/>
      <c r="R42" s="386">
        <f t="shared" si="2"/>
        <v>0</v>
      </c>
      <c r="S42" s="386">
        <f t="shared" si="3"/>
        <v>0</v>
      </c>
      <c r="T42" s="384"/>
      <c r="U42" s="386">
        <f t="shared" si="4"/>
        <v>0</v>
      </c>
      <c r="V42" s="384"/>
      <c r="W42" s="385">
        <v>38</v>
      </c>
      <c r="X42" s="38"/>
      <c r="Y42" s="517">
        <v>15</v>
      </c>
    </row>
    <row r="43" spans="2:41" ht="13.5" customHeight="1" x14ac:dyDescent="0.25">
      <c r="B43" s="18"/>
      <c r="C43" s="162"/>
      <c r="D43" s="167" t="s">
        <v>140</v>
      </c>
      <c r="E43" s="167"/>
      <c r="F43" s="322">
        <f>+tabellen!B128</f>
        <v>0.6</v>
      </c>
      <c r="G43" s="168"/>
      <c r="H43" s="168"/>
      <c r="I43" s="337"/>
      <c r="J43" s="32"/>
      <c r="K43" s="38"/>
      <c r="L43" s="383" t="str">
        <f t="shared" si="5"/>
        <v>L11</v>
      </c>
      <c r="M43" s="384">
        <f t="shared" si="0"/>
        <v>47</v>
      </c>
      <c r="N43" s="384"/>
      <c r="O43" s="384" t="str">
        <f t="shared" si="1"/>
        <v>L10</v>
      </c>
      <c r="P43" s="384">
        <f t="shared" si="6"/>
        <v>48</v>
      </c>
      <c r="Q43" s="384"/>
      <c r="R43" s="386">
        <f t="shared" si="2"/>
        <v>0</v>
      </c>
      <c r="S43" s="386">
        <f t="shared" si="3"/>
        <v>0</v>
      </c>
      <c r="T43" s="384"/>
      <c r="U43" s="386">
        <f t="shared" si="4"/>
        <v>0</v>
      </c>
      <c r="V43" s="384"/>
      <c r="W43" s="385">
        <v>39</v>
      </c>
      <c r="X43" s="38"/>
      <c r="Y43" s="517">
        <v>16</v>
      </c>
    </row>
    <row r="44" spans="2:41" ht="13.5" customHeight="1" x14ac:dyDescent="0.25">
      <c r="B44" s="18"/>
      <c r="C44" s="162"/>
      <c r="D44" s="167" t="s">
        <v>141</v>
      </c>
      <c r="E44" s="167"/>
      <c r="F44" s="296">
        <f>+F42*12*(1+F43)</f>
        <v>1190.4000000000001</v>
      </c>
      <c r="G44" s="167"/>
      <c r="H44" s="167"/>
      <c r="I44" s="169"/>
      <c r="J44" s="22"/>
      <c r="K44" s="38"/>
      <c r="L44" s="383" t="str">
        <f t="shared" si="5"/>
        <v>L11</v>
      </c>
      <c r="M44" s="384">
        <f t="shared" si="0"/>
        <v>48</v>
      </c>
      <c r="N44" s="384"/>
      <c r="O44" s="384" t="str">
        <f t="shared" si="1"/>
        <v>L10</v>
      </c>
      <c r="P44" s="384">
        <f t="shared" si="6"/>
        <v>49</v>
      </c>
      <c r="Q44" s="384"/>
      <c r="R44" s="386">
        <f t="shared" si="2"/>
        <v>0</v>
      </c>
      <c r="S44" s="386">
        <f t="shared" si="3"/>
        <v>0</v>
      </c>
      <c r="T44" s="384"/>
      <c r="U44" s="386">
        <f t="shared" si="4"/>
        <v>0</v>
      </c>
      <c r="V44" s="384"/>
      <c r="W44" s="385">
        <v>40</v>
      </c>
      <c r="X44" s="38"/>
      <c r="Y44" s="517" t="s">
        <v>79</v>
      </c>
    </row>
    <row r="45" spans="2:41" ht="13.5" customHeight="1" x14ac:dyDescent="0.25">
      <c r="B45" s="18"/>
      <c r="C45" s="162"/>
      <c r="D45" s="167" t="s">
        <v>142</v>
      </c>
      <c r="E45" s="167"/>
      <c r="F45" s="340">
        <f>+F24-F23</f>
        <v>21</v>
      </c>
      <c r="G45" s="167"/>
      <c r="H45" s="167"/>
      <c r="I45" s="169"/>
      <c r="J45" s="22"/>
      <c r="K45" s="375"/>
      <c r="L45" s="383" t="str">
        <f t="shared" si="5"/>
        <v>L11</v>
      </c>
      <c r="M45" s="384">
        <f t="shared" si="0"/>
        <v>49</v>
      </c>
      <c r="N45" s="384"/>
      <c r="O45" s="384" t="str">
        <f t="shared" si="1"/>
        <v>L10</v>
      </c>
      <c r="P45" s="384">
        <f t="shared" si="6"/>
        <v>50</v>
      </c>
      <c r="Q45" s="384"/>
      <c r="R45" s="386">
        <f t="shared" si="2"/>
        <v>0</v>
      </c>
      <c r="S45" s="386">
        <f t="shared" si="3"/>
        <v>0</v>
      </c>
      <c r="T45" s="384"/>
      <c r="U45" s="386">
        <f t="shared" si="4"/>
        <v>0</v>
      </c>
      <c r="V45" s="384"/>
      <c r="W45" s="385">
        <v>41</v>
      </c>
      <c r="X45" s="375"/>
      <c r="Y45" s="517" t="s">
        <v>80</v>
      </c>
    </row>
    <row r="46" spans="2:41" s="2" customFormat="1" ht="13.5" customHeight="1" x14ac:dyDescent="0.25">
      <c r="B46" s="18"/>
      <c r="C46" s="162"/>
      <c r="D46" s="167" t="s">
        <v>143</v>
      </c>
      <c r="E46" s="167"/>
      <c r="F46" s="341">
        <f>IF(F34="nee",U52*F20,U52*F35)</f>
        <v>4746.0571428571393</v>
      </c>
      <c r="G46" s="196"/>
      <c r="H46" s="167"/>
      <c r="I46" s="169"/>
      <c r="J46" s="22"/>
      <c r="K46" s="376"/>
      <c r="L46" s="383" t="str">
        <f t="shared" si="5"/>
        <v>L11</v>
      </c>
      <c r="M46" s="384">
        <f t="shared" si="0"/>
        <v>50</v>
      </c>
      <c r="N46" s="384"/>
      <c r="O46" s="384" t="str">
        <f t="shared" si="1"/>
        <v>L10</v>
      </c>
      <c r="P46" s="384">
        <f t="shared" si="6"/>
        <v>51</v>
      </c>
      <c r="Q46" s="384"/>
      <c r="R46" s="386">
        <f t="shared" si="2"/>
        <v>0</v>
      </c>
      <c r="S46" s="386">
        <f t="shared" si="3"/>
        <v>0</v>
      </c>
      <c r="T46" s="384"/>
      <c r="U46" s="386">
        <f t="shared" si="4"/>
        <v>0</v>
      </c>
      <c r="V46" s="384"/>
      <c r="W46" s="385">
        <v>42</v>
      </c>
      <c r="Y46" s="517" t="s">
        <v>81</v>
      </c>
    </row>
    <row r="47" spans="2:41" ht="13.5" customHeight="1" x14ac:dyDescent="0.25">
      <c r="B47" s="18"/>
      <c r="C47" s="162"/>
      <c r="D47" s="178"/>
      <c r="E47" s="167"/>
      <c r="F47" s="365"/>
      <c r="G47" s="196"/>
      <c r="H47" s="167"/>
      <c r="I47" s="366"/>
      <c r="J47" s="117"/>
      <c r="K47" s="375"/>
      <c r="L47" s="383" t="str">
        <f t="shared" si="5"/>
        <v>L11</v>
      </c>
      <c r="M47" s="384">
        <f t="shared" si="0"/>
        <v>51</v>
      </c>
      <c r="N47" s="384"/>
      <c r="O47" s="384" t="str">
        <f t="shared" si="1"/>
        <v>L10</v>
      </c>
      <c r="P47" s="384">
        <f t="shared" si="6"/>
        <v>52</v>
      </c>
      <c r="Q47" s="384"/>
      <c r="R47" s="386">
        <f t="shared" si="2"/>
        <v>0</v>
      </c>
      <c r="S47" s="386">
        <f t="shared" si="3"/>
        <v>0</v>
      </c>
      <c r="T47" s="384"/>
      <c r="U47" s="386">
        <f t="shared" si="4"/>
        <v>0</v>
      </c>
      <c r="V47" s="384"/>
      <c r="W47" s="385">
        <v>43</v>
      </c>
      <c r="Y47" s="2"/>
    </row>
    <row r="48" spans="2:41" ht="13.5" customHeight="1" x14ac:dyDescent="0.25">
      <c r="B48" s="27"/>
      <c r="C48" s="170"/>
      <c r="D48" s="178" t="s">
        <v>227</v>
      </c>
      <c r="E48" s="178"/>
      <c r="F48" s="342">
        <f>+U51*F20</f>
        <v>99667.199999999924</v>
      </c>
      <c r="G48" s="178"/>
      <c r="H48" s="178"/>
      <c r="I48" s="367"/>
      <c r="J48" s="118"/>
      <c r="K48" s="375"/>
      <c r="L48" s="383" t="str">
        <f t="shared" si="5"/>
        <v>L11</v>
      </c>
      <c r="M48" s="384">
        <f t="shared" si="0"/>
        <v>52</v>
      </c>
      <c r="N48" s="384"/>
      <c r="O48" s="384" t="str">
        <f t="shared" si="1"/>
        <v>L10</v>
      </c>
      <c r="P48" s="384">
        <f t="shared" si="6"/>
        <v>53</v>
      </c>
      <c r="Q48" s="384"/>
      <c r="R48" s="386">
        <f t="shared" si="2"/>
        <v>0</v>
      </c>
      <c r="S48" s="386">
        <f t="shared" si="3"/>
        <v>0</v>
      </c>
      <c r="T48" s="384"/>
      <c r="U48" s="386">
        <f t="shared" si="4"/>
        <v>0</v>
      </c>
      <c r="V48" s="384"/>
      <c r="W48" s="385">
        <v>44</v>
      </c>
    </row>
    <row r="49" spans="2:23" ht="13.5" customHeight="1" x14ac:dyDescent="0.25">
      <c r="B49" s="18"/>
      <c r="C49" s="206"/>
      <c r="D49" s="207"/>
      <c r="E49" s="207"/>
      <c r="F49" s="210"/>
      <c r="G49" s="207"/>
      <c r="H49" s="207"/>
      <c r="I49" s="368"/>
      <c r="J49" s="117"/>
      <c r="K49" s="375"/>
      <c r="L49" s="383" t="str">
        <f t="shared" si="5"/>
        <v>L11</v>
      </c>
      <c r="M49" s="384">
        <f t="shared" si="0"/>
        <v>53</v>
      </c>
      <c r="N49" s="384"/>
      <c r="O49" s="384" t="str">
        <f t="shared" si="1"/>
        <v>L10</v>
      </c>
      <c r="P49" s="384">
        <f t="shared" si="6"/>
        <v>54</v>
      </c>
      <c r="Q49" s="384"/>
      <c r="R49" s="386">
        <f t="shared" si="2"/>
        <v>0</v>
      </c>
      <c r="S49" s="386">
        <f t="shared" si="3"/>
        <v>0</v>
      </c>
      <c r="T49" s="384"/>
      <c r="U49" s="386">
        <f t="shared" si="4"/>
        <v>0</v>
      </c>
      <c r="V49" s="384"/>
      <c r="W49" s="385">
        <v>45</v>
      </c>
    </row>
    <row r="50" spans="2:23" ht="13.5" customHeight="1" x14ac:dyDescent="0.25">
      <c r="B50" s="18"/>
      <c r="C50" s="19"/>
      <c r="D50" s="19"/>
      <c r="E50" s="19"/>
      <c r="F50" s="21"/>
      <c r="G50" s="19"/>
      <c r="H50" s="19"/>
      <c r="I50" s="41"/>
      <c r="J50" s="117"/>
      <c r="K50" s="375"/>
      <c r="L50" s="383"/>
      <c r="M50" s="384"/>
      <c r="N50" s="384"/>
      <c r="O50" s="384"/>
      <c r="P50" s="384"/>
      <c r="Q50" s="384"/>
      <c r="R50" s="384"/>
      <c r="S50" s="384"/>
      <c r="T50" s="384"/>
      <c r="U50" s="384"/>
      <c r="V50" s="384"/>
      <c r="W50" s="385"/>
    </row>
    <row r="51" spans="2:23" ht="13.5" customHeight="1" x14ac:dyDescent="0.25">
      <c r="B51" s="18"/>
      <c r="C51" s="19"/>
      <c r="D51" s="19"/>
      <c r="E51" s="19"/>
      <c r="F51" s="21"/>
      <c r="G51" s="19"/>
      <c r="H51" s="19"/>
      <c r="I51" s="41"/>
      <c r="J51" s="117"/>
      <c r="K51" s="120"/>
      <c r="L51" s="383"/>
      <c r="M51" s="384"/>
      <c r="N51" s="384"/>
      <c r="O51" s="384"/>
      <c r="P51" s="384"/>
      <c r="Q51" s="384"/>
      <c r="R51" s="384"/>
      <c r="S51" s="384"/>
      <c r="T51" s="384"/>
      <c r="U51" s="386">
        <f>SUM(U4:U49)</f>
        <v>99667.199999999924</v>
      </c>
      <c r="V51" s="384"/>
      <c r="W51" s="385"/>
    </row>
    <row r="52" spans="2:23" ht="13.5" customHeight="1" x14ac:dyDescent="0.25">
      <c r="B52" s="9"/>
      <c r="C52" s="10"/>
      <c r="D52" s="10"/>
      <c r="E52" s="10"/>
      <c r="F52" s="81"/>
      <c r="G52" s="10"/>
      <c r="H52" s="10"/>
      <c r="I52" s="427" t="s">
        <v>276</v>
      </c>
      <c r="J52" s="121"/>
      <c r="K52" s="120"/>
      <c r="L52" s="387"/>
      <c r="M52" s="388"/>
      <c r="N52" s="388"/>
      <c r="O52" s="388"/>
      <c r="P52" s="388"/>
      <c r="Q52" s="388"/>
      <c r="R52" s="388"/>
      <c r="S52" s="388" t="s">
        <v>26</v>
      </c>
      <c r="T52" s="388"/>
      <c r="U52" s="389">
        <f>IF(F45=0,0,+U51/F45)</f>
        <v>4746.0571428571393</v>
      </c>
      <c r="V52" s="388"/>
      <c r="W52" s="390"/>
    </row>
    <row r="53" spans="2:23" ht="13.5" customHeight="1" x14ac:dyDescent="0.25">
      <c r="I53" s="120"/>
      <c r="J53" s="120"/>
      <c r="K53" s="120"/>
    </row>
    <row r="54" spans="2:23" ht="13.5" customHeight="1" x14ac:dyDescent="0.25">
      <c r="I54" s="120"/>
      <c r="J54" s="120"/>
      <c r="L54" s="4"/>
      <c r="M54" s="4"/>
    </row>
    <row r="55" spans="2:23" ht="13.5" customHeight="1" x14ac:dyDescent="0.25">
      <c r="I55" s="120"/>
      <c r="J55" s="120"/>
      <c r="L55" s="4"/>
      <c r="M55" s="4"/>
    </row>
    <row r="56" spans="2:23" ht="13.5" customHeight="1" x14ac:dyDescent="0.25">
      <c r="I56" s="120"/>
      <c r="J56" s="120"/>
      <c r="L56" s="4"/>
      <c r="M56" s="4"/>
    </row>
    <row r="57" spans="2:23" ht="13.5" customHeight="1" x14ac:dyDescent="0.25">
      <c r="I57" s="120"/>
      <c r="J57" s="120"/>
      <c r="L57" s="4"/>
      <c r="M57" s="4"/>
    </row>
    <row r="58" spans="2:23" ht="13.5" customHeight="1" x14ac:dyDescent="0.25">
      <c r="I58" s="120"/>
      <c r="J58" s="120"/>
      <c r="L58" s="4"/>
      <c r="M58" s="4"/>
    </row>
    <row r="59" spans="2:23" ht="13.5" customHeight="1" x14ac:dyDescent="0.25">
      <c r="C59" s="143" t="s">
        <v>62</v>
      </c>
      <c r="I59" s="120"/>
      <c r="J59" s="120"/>
      <c r="L59" s="4"/>
      <c r="M59" s="4"/>
    </row>
    <row r="60" spans="2:23" ht="13.5" customHeight="1" x14ac:dyDescent="0.25">
      <c r="C60" s="143" t="s">
        <v>63</v>
      </c>
      <c r="I60" s="120"/>
      <c r="J60" s="120"/>
      <c r="L60" s="4"/>
      <c r="M60" s="4"/>
    </row>
    <row r="61" spans="2:23" ht="13.5" customHeight="1" x14ac:dyDescent="0.25">
      <c r="C61" s="143" t="s">
        <v>64</v>
      </c>
      <c r="I61" s="120"/>
      <c r="J61" s="120"/>
      <c r="L61" s="113"/>
      <c r="M61" s="113"/>
    </row>
    <row r="62" spans="2:23" ht="13.5" customHeight="1" x14ac:dyDescent="0.25">
      <c r="C62" s="414" t="s">
        <v>254</v>
      </c>
      <c r="I62" s="120"/>
      <c r="J62" s="120"/>
      <c r="L62" s="113"/>
      <c r="M62" s="113"/>
    </row>
    <row r="63" spans="2:23" ht="13.5" customHeight="1" x14ac:dyDescent="0.25">
      <c r="I63" s="120"/>
      <c r="J63" s="120"/>
      <c r="L63" s="4"/>
      <c r="M63" s="4"/>
    </row>
    <row r="64" spans="2:23" ht="13.5" customHeight="1" x14ac:dyDescent="0.25">
      <c r="I64" s="120"/>
      <c r="J64" s="120"/>
      <c r="L64" s="4"/>
      <c r="M64" s="4"/>
    </row>
    <row r="65" spans="9:13" ht="13.5" customHeight="1" x14ac:dyDescent="0.25">
      <c r="I65" s="120"/>
      <c r="J65" s="120"/>
      <c r="L65" s="4"/>
      <c r="M65" s="4"/>
    </row>
    <row r="66" spans="9:13" ht="13.5" customHeight="1" x14ac:dyDescent="0.25">
      <c r="I66" s="120"/>
      <c r="J66" s="120"/>
      <c r="L66" s="4"/>
      <c r="M66" s="4"/>
    </row>
    <row r="67" spans="9:13" ht="13.5" customHeight="1" x14ac:dyDescent="0.25">
      <c r="I67" s="120"/>
      <c r="J67" s="120"/>
      <c r="L67" s="4"/>
      <c r="M67" s="4"/>
    </row>
    <row r="68" spans="9:13" ht="13.5" customHeight="1" x14ac:dyDescent="0.25">
      <c r="I68" s="120"/>
      <c r="J68" s="120"/>
      <c r="L68" s="4"/>
      <c r="M68" s="4"/>
    </row>
    <row r="69" spans="9:13" ht="13.5" customHeight="1" x14ac:dyDescent="0.25">
      <c r="I69" s="120"/>
      <c r="J69" s="120"/>
      <c r="L69" s="4"/>
      <c r="M69" s="4"/>
    </row>
    <row r="70" spans="9:13" ht="13.5" customHeight="1" x14ac:dyDescent="0.25">
      <c r="I70" s="120"/>
      <c r="J70" s="120"/>
      <c r="L70" s="4"/>
      <c r="M70" s="4"/>
    </row>
    <row r="71" spans="9:13" ht="13.5" customHeight="1" x14ac:dyDescent="0.25">
      <c r="I71" s="120"/>
      <c r="J71" s="120"/>
      <c r="L71" s="4"/>
      <c r="M71" s="4"/>
    </row>
    <row r="72" spans="9:13" ht="13.5" customHeight="1" x14ac:dyDescent="0.25">
      <c r="I72" s="120"/>
      <c r="J72" s="120"/>
      <c r="L72" s="4"/>
      <c r="M72" s="4"/>
    </row>
    <row r="73" spans="9:13" ht="13.5" customHeight="1" x14ac:dyDescent="0.25">
      <c r="I73" s="120"/>
      <c r="J73" s="120"/>
      <c r="L73" s="4"/>
      <c r="M73" s="4"/>
    </row>
    <row r="74" spans="9:13" ht="13.5" customHeight="1" x14ac:dyDescent="0.25">
      <c r="I74" s="120"/>
      <c r="J74" s="120"/>
      <c r="L74" s="4"/>
      <c r="M74" s="4"/>
    </row>
    <row r="75" spans="9:13" ht="13.5" customHeight="1" x14ac:dyDescent="0.25">
      <c r="I75" s="120"/>
      <c r="J75" s="120"/>
      <c r="L75" s="4"/>
      <c r="M75" s="4"/>
    </row>
    <row r="76" spans="9:13" ht="13.5" customHeight="1" x14ac:dyDescent="0.25">
      <c r="I76" s="120"/>
      <c r="J76" s="120"/>
      <c r="L76" s="4"/>
      <c r="M76" s="4"/>
    </row>
    <row r="77" spans="9:13" ht="13.5" customHeight="1" x14ac:dyDescent="0.25">
      <c r="I77" s="120"/>
      <c r="J77" s="120"/>
      <c r="L77" s="4"/>
      <c r="M77" s="4"/>
    </row>
    <row r="78" spans="9:13" ht="13.5" customHeight="1" x14ac:dyDescent="0.25">
      <c r="I78" s="120"/>
      <c r="J78" s="120"/>
      <c r="L78" s="4"/>
      <c r="M78" s="4"/>
    </row>
    <row r="79" spans="9:13" ht="13.5" customHeight="1" x14ac:dyDescent="0.25">
      <c r="I79" s="120"/>
      <c r="J79" s="120"/>
      <c r="L79" s="4"/>
      <c r="M79" s="4"/>
    </row>
    <row r="80" spans="9:13" ht="13.5" customHeight="1" x14ac:dyDescent="0.25">
      <c r="I80" s="120"/>
      <c r="J80" s="120"/>
      <c r="L80" s="4"/>
      <c r="M80" s="4"/>
    </row>
    <row r="81" spans="9:13" ht="13.5" customHeight="1" x14ac:dyDescent="0.25">
      <c r="I81" s="120"/>
      <c r="J81" s="120"/>
      <c r="L81" s="4"/>
      <c r="M81" s="4"/>
    </row>
    <row r="82" spans="9:13" ht="13.5" customHeight="1" x14ac:dyDescent="0.25">
      <c r="I82" s="120"/>
      <c r="J82" s="120"/>
      <c r="L82" s="4"/>
      <c r="M82" s="4"/>
    </row>
    <row r="83" spans="9:13" ht="13.5" customHeight="1" x14ac:dyDescent="0.25">
      <c r="I83" s="120"/>
      <c r="J83" s="120"/>
      <c r="L83" s="4"/>
      <c r="M83" s="4"/>
    </row>
    <row r="84" spans="9:13" ht="13.5" customHeight="1" x14ac:dyDescent="0.25">
      <c r="I84" s="120"/>
      <c r="J84" s="120"/>
      <c r="L84" s="4"/>
      <c r="M84" s="4"/>
    </row>
    <row r="85" spans="9:13" ht="13.5" customHeight="1" x14ac:dyDescent="0.25">
      <c r="I85" s="120"/>
      <c r="J85" s="120"/>
      <c r="L85" s="4"/>
      <c r="M85" s="4"/>
    </row>
    <row r="86" spans="9:13" ht="13.5" customHeight="1" x14ac:dyDescent="0.25">
      <c r="I86" s="120"/>
      <c r="J86" s="120"/>
      <c r="L86" s="4"/>
      <c r="M86" s="4"/>
    </row>
    <row r="87" spans="9:13" ht="13.5" customHeight="1" x14ac:dyDescent="0.25">
      <c r="I87" s="120"/>
      <c r="J87" s="120"/>
      <c r="L87" s="4"/>
      <c r="M87" s="4"/>
    </row>
    <row r="88" spans="9:13" ht="13.5" customHeight="1" x14ac:dyDescent="0.25">
      <c r="I88" s="120"/>
      <c r="J88" s="120"/>
      <c r="L88" s="4"/>
      <c r="M88" s="4"/>
    </row>
    <row r="89" spans="9:13" ht="13.5" customHeight="1" x14ac:dyDescent="0.25">
      <c r="I89" s="120"/>
      <c r="J89" s="120"/>
      <c r="L89" s="4"/>
      <c r="M89" s="4"/>
    </row>
    <row r="90" spans="9:13" ht="13.5" customHeight="1" x14ac:dyDescent="0.25">
      <c r="I90" s="120"/>
      <c r="J90" s="120"/>
      <c r="L90" s="4"/>
      <c r="M90" s="4"/>
    </row>
    <row r="91" spans="9:13" ht="13.5" customHeight="1" x14ac:dyDescent="0.25">
      <c r="I91" s="120"/>
      <c r="J91" s="120"/>
      <c r="L91" s="4"/>
      <c r="M91" s="4"/>
    </row>
    <row r="92" spans="9:13" ht="13.5" customHeight="1" x14ac:dyDescent="0.25">
      <c r="I92" s="120"/>
      <c r="J92" s="120"/>
      <c r="L92" s="4"/>
      <c r="M92" s="4"/>
    </row>
    <row r="93" spans="9:13" ht="13.5" customHeight="1" x14ac:dyDescent="0.25">
      <c r="I93" s="120"/>
      <c r="J93" s="120"/>
      <c r="L93" s="4"/>
      <c r="M93" s="4"/>
    </row>
    <row r="94" spans="9:13" ht="13.5" customHeight="1" x14ac:dyDescent="0.25">
      <c r="I94" s="120"/>
      <c r="J94" s="120"/>
      <c r="L94" s="4"/>
      <c r="M94" s="4"/>
    </row>
    <row r="95" spans="9:13" ht="13.5" customHeight="1" x14ac:dyDescent="0.25">
      <c r="I95" s="120"/>
      <c r="J95" s="120"/>
      <c r="L95" s="4"/>
      <c r="M95" s="4"/>
    </row>
    <row r="96" spans="9:13" ht="13.5" customHeight="1" x14ac:dyDescent="0.25">
      <c r="I96" s="120"/>
      <c r="J96" s="120"/>
      <c r="L96" s="4"/>
      <c r="M96" s="4"/>
    </row>
    <row r="97" spans="6:10" ht="13.5" customHeight="1" x14ac:dyDescent="0.25">
      <c r="F97" s="127"/>
      <c r="G97" s="131"/>
      <c r="I97" s="120"/>
      <c r="J97" s="120"/>
    </row>
    <row r="98" spans="6:10" ht="13.5" customHeight="1" x14ac:dyDescent="0.25">
      <c r="F98" s="127"/>
      <c r="G98" s="131"/>
      <c r="I98" s="120"/>
      <c r="J98" s="120"/>
    </row>
    <row r="99" spans="6:10" ht="13.5" customHeight="1" x14ac:dyDescent="0.25">
      <c r="F99" s="127"/>
      <c r="G99" s="131"/>
      <c r="I99" s="120"/>
      <c r="J99" s="120"/>
    </row>
    <row r="100" spans="6:10" ht="13.5" customHeight="1" x14ac:dyDescent="0.25">
      <c r="F100" s="127"/>
      <c r="G100" s="131"/>
      <c r="I100" s="120"/>
      <c r="J100" s="120"/>
    </row>
    <row r="101" spans="6:10" ht="13.5" customHeight="1" x14ac:dyDescent="0.25">
      <c r="F101" s="126"/>
      <c r="G101" s="120"/>
      <c r="I101" s="120"/>
      <c r="J101" s="120"/>
    </row>
    <row r="102" spans="6:10" ht="13.5" customHeight="1" x14ac:dyDescent="0.25">
      <c r="F102" s="127"/>
      <c r="G102" s="120"/>
      <c r="I102" s="120"/>
      <c r="J102" s="120"/>
    </row>
    <row r="103" spans="6:10" ht="13.5" customHeight="1" x14ac:dyDescent="0.25">
      <c r="F103" s="115"/>
      <c r="I103" s="120"/>
      <c r="J103" s="120"/>
    </row>
    <row r="104" spans="6:10" ht="13.5" customHeight="1" x14ac:dyDescent="0.25">
      <c r="I104" s="120"/>
      <c r="J104" s="120"/>
    </row>
    <row r="105" spans="6:10" ht="13.5" customHeight="1" x14ac:dyDescent="0.25">
      <c r="I105" s="120"/>
      <c r="J105" s="120"/>
    </row>
  </sheetData>
  <sheetProtection algorithmName="SHA-512" hashValue="e9lhyASApZewZU2JdxHANvg/J3/ls8Rpc79C5dBR0EzgSaB9zbHpTGM/gyEGzFm+4dPlI3rnymnh4ywi8YjJaA==" saltValue="qqPvWV5lLK9ZcyF0y584qA==" spinCount="100000" sheet="1" objects="1" scenarios="1"/>
  <mergeCells count="1">
    <mergeCell ref="F9:G9"/>
  </mergeCells>
  <phoneticPr fontId="0" type="noConversion"/>
  <dataValidations count="3">
    <dataValidation type="list" allowBlank="1" showInputMessage="1" showErrorMessage="1" sqref="F34">
      <formula1>#REF!</formula1>
    </dataValidation>
    <dataValidation type="list" allowBlank="1" showInputMessage="1" showErrorMessage="1" sqref="F10">
      <formula1>$C$59:$C$62</formula1>
    </dataValidation>
    <dataValidation type="list" allowBlank="1" showInputMessage="1" showErrorMessage="1" sqref="F16 F30">
      <formula1>$Y$2:$Y$46</formula1>
    </dataValidation>
  </dataValidations>
  <hyperlinks>
    <hyperlink ref="I52"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5"/>
  <sheetViews>
    <sheetView zoomScale="85" zoomScaleNormal="85" workbookViewId="0">
      <selection activeCell="B2" sqref="B2"/>
    </sheetView>
  </sheetViews>
  <sheetFormatPr defaultColWidth="9.7109375" defaultRowHeight="13.5" customHeight="1" x14ac:dyDescent="0.25"/>
  <cols>
    <col min="1" max="1" width="3.7109375" style="1" customWidth="1"/>
    <col min="2" max="2" width="2.7109375" style="1" customWidth="1"/>
    <col min="3" max="3" width="2.5703125" style="1" customWidth="1"/>
    <col min="4" max="4" width="45.7109375" style="1" customWidth="1"/>
    <col min="5" max="5" width="2.85546875" style="1" customWidth="1"/>
    <col min="6" max="7" width="14.85546875" style="1" customWidth="1"/>
    <col min="8" max="8" width="14.42578125" style="1" customWidth="1"/>
    <col min="9" max="10" width="2.7109375" style="1" customWidth="1"/>
    <col min="11" max="49" width="10.7109375" style="1" customWidth="1"/>
    <col min="50" max="16384" width="9.7109375" style="1"/>
  </cols>
  <sheetData>
    <row r="2" spans="2:15" ht="13.5" customHeight="1" x14ac:dyDescent="0.25">
      <c r="B2" s="13"/>
      <c r="C2" s="14"/>
      <c r="D2" s="14"/>
      <c r="E2" s="14"/>
      <c r="F2" s="14"/>
      <c r="G2" s="14"/>
      <c r="H2" s="14"/>
      <c r="I2" s="14"/>
      <c r="J2" s="17"/>
    </row>
    <row r="3" spans="2:15" ht="13.5" customHeight="1" x14ac:dyDescent="0.25">
      <c r="B3" s="18"/>
      <c r="C3" s="19"/>
      <c r="D3" s="19"/>
      <c r="E3" s="19"/>
      <c r="F3" s="19"/>
      <c r="G3" s="19"/>
      <c r="H3" s="19"/>
      <c r="I3" s="19"/>
      <c r="J3" s="22"/>
    </row>
    <row r="4" spans="2:15" s="8" customFormat="1" ht="18" customHeight="1" x14ac:dyDescent="0.3">
      <c r="B4" s="34"/>
      <c r="C4" s="86" t="s">
        <v>229</v>
      </c>
      <c r="D4" s="101"/>
      <c r="E4" s="101"/>
      <c r="F4" s="88" t="str">
        <f>tabellen!B3</f>
        <v>2019/2020</v>
      </c>
      <c r="G4" s="86"/>
      <c r="H4" s="101"/>
      <c r="I4" s="101"/>
      <c r="J4" s="40"/>
    </row>
    <row r="5" spans="2:15" ht="13.5" customHeight="1" x14ac:dyDescent="0.25">
      <c r="B5" s="18"/>
      <c r="C5" s="19"/>
      <c r="D5" s="33"/>
      <c r="E5" s="19"/>
      <c r="F5" s="19"/>
      <c r="G5" s="19"/>
      <c r="H5" s="19"/>
      <c r="I5" s="19"/>
      <c r="J5" s="22"/>
    </row>
    <row r="6" spans="2:15" ht="13.5" customHeight="1" x14ac:dyDescent="0.25">
      <c r="B6" s="18"/>
      <c r="C6" s="19"/>
      <c r="D6" s="33"/>
      <c r="E6" s="19"/>
      <c r="F6" s="19"/>
      <c r="G6" s="19"/>
      <c r="H6" s="19"/>
      <c r="I6" s="19"/>
      <c r="J6" s="22"/>
    </row>
    <row r="7" spans="2:15" ht="13.5" customHeight="1" x14ac:dyDescent="0.25">
      <c r="B7" s="18"/>
      <c r="C7" s="155"/>
      <c r="D7" s="240"/>
      <c r="E7" s="156"/>
      <c r="F7" s="156"/>
      <c r="G7" s="156"/>
      <c r="H7" s="156"/>
      <c r="I7" s="161"/>
      <c r="J7" s="22"/>
    </row>
    <row r="8" spans="2:15" ht="13.5" customHeight="1" x14ac:dyDescent="0.25">
      <c r="B8" s="18"/>
      <c r="C8" s="170"/>
      <c r="D8" s="163" t="s">
        <v>146</v>
      </c>
      <c r="E8" s="167"/>
      <c r="F8" s="167"/>
      <c r="G8" s="167"/>
      <c r="H8" s="167"/>
      <c r="I8" s="169"/>
      <c r="J8" s="22"/>
    </row>
    <row r="9" spans="2:15" ht="13.5" customHeight="1" x14ac:dyDescent="0.25">
      <c r="B9" s="18"/>
      <c r="C9" s="170"/>
      <c r="D9" s="178"/>
      <c r="E9" s="167"/>
      <c r="F9" s="167"/>
      <c r="G9" s="167"/>
      <c r="H9" s="167"/>
      <c r="I9" s="169"/>
      <c r="J9" s="22"/>
    </row>
    <row r="10" spans="2:15" ht="13.5" customHeight="1" x14ac:dyDescent="0.25">
      <c r="B10" s="18"/>
      <c r="C10" s="162"/>
      <c r="D10" s="167" t="s">
        <v>103</v>
      </c>
      <c r="E10" s="167"/>
      <c r="F10" s="540" t="s">
        <v>27</v>
      </c>
      <c r="G10" s="540"/>
      <c r="H10" s="167"/>
      <c r="I10" s="169"/>
      <c r="J10" s="22"/>
      <c r="O10" s="5"/>
    </row>
    <row r="11" spans="2:15" ht="13.5" customHeight="1" x14ac:dyDescent="0.25">
      <c r="B11" s="18"/>
      <c r="C11" s="162"/>
      <c r="D11" s="178"/>
      <c r="E11" s="167"/>
      <c r="F11" s="268"/>
      <c r="G11" s="268"/>
      <c r="H11" s="167"/>
      <c r="I11" s="169"/>
      <c r="J11" s="22"/>
      <c r="O11" s="5"/>
    </row>
    <row r="12" spans="2:15" ht="13.5" customHeight="1" x14ac:dyDescent="0.25">
      <c r="B12" s="18"/>
      <c r="C12" s="162"/>
      <c r="D12" s="178" t="s">
        <v>18</v>
      </c>
      <c r="E12" s="167"/>
      <c r="F12" s="167"/>
      <c r="G12" s="167"/>
      <c r="H12" s="167"/>
      <c r="I12" s="169"/>
      <c r="J12" s="22"/>
      <c r="O12" s="5"/>
    </row>
    <row r="13" spans="2:15" ht="13.5" customHeight="1" x14ac:dyDescent="0.25">
      <c r="B13" s="18"/>
      <c r="C13" s="162"/>
      <c r="D13" s="167" t="s">
        <v>16</v>
      </c>
      <c r="E13" s="167"/>
      <c r="F13" s="174" t="s">
        <v>327</v>
      </c>
      <c r="G13" s="167"/>
      <c r="H13" s="167"/>
      <c r="I13" s="169"/>
      <c r="J13" s="22"/>
    </row>
    <row r="14" spans="2:15" ht="13.5" customHeight="1" x14ac:dyDescent="0.25">
      <c r="B14" s="18"/>
      <c r="C14" s="162"/>
      <c r="D14" s="167" t="s">
        <v>17</v>
      </c>
      <c r="E14" s="167"/>
      <c r="F14" s="174">
        <v>7</v>
      </c>
      <c r="G14" s="334" t="s">
        <v>134</v>
      </c>
      <c r="H14" s="335">
        <f>VLOOKUP(F13,salaris2020,22,FALSE)</f>
        <v>15</v>
      </c>
      <c r="I14" s="169"/>
      <c r="J14" s="22"/>
    </row>
    <row r="15" spans="2:15" ht="13.5" customHeight="1" x14ac:dyDescent="0.25">
      <c r="B15" s="18"/>
      <c r="C15" s="162"/>
      <c r="D15" s="167" t="s">
        <v>19</v>
      </c>
      <c r="E15" s="167"/>
      <c r="F15" s="392">
        <f>VLOOKUP(F13,salaris2020,F14+1,FALSE)</f>
        <v>3217</v>
      </c>
      <c r="G15" s="167"/>
      <c r="H15" s="167"/>
      <c r="I15" s="169"/>
      <c r="J15" s="22"/>
    </row>
    <row r="16" spans="2:15" ht="13.5" customHeight="1" x14ac:dyDescent="0.25">
      <c r="B16" s="18"/>
      <c r="C16" s="162"/>
      <c r="D16" s="178" t="s">
        <v>20</v>
      </c>
      <c r="E16" s="167"/>
      <c r="F16" s="336">
        <v>1</v>
      </c>
      <c r="G16" s="167"/>
      <c r="H16" s="167"/>
      <c r="I16" s="169"/>
      <c r="J16" s="22"/>
    </row>
    <row r="17" spans="2:13" ht="13.5" customHeight="1" x14ac:dyDescent="0.25">
      <c r="B17" s="18"/>
      <c r="C17" s="162"/>
      <c r="D17" s="167" t="s">
        <v>21</v>
      </c>
      <c r="E17" s="167"/>
      <c r="F17" s="391">
        <f>+F15*F16</f>
        <v>3217</v>
      </c>
      <c r="G17" s="167"/>
      <c r="H17" s="167"/>
      <c r="I17" s="169"/>
      <c r="J17" s="22"/>
    </row>
    <row r="18" spans="2:13" ht="13.5" customHeight="1" x14ac:dyDescent="0.25">
      <c r="B18" s="18"/>
      <c r="C18" s="162"/>
      <c r="D18" s="167"/>
      <c r="E18" s="167"/>
      <c r="F18" s="166"/>
      <c r="G18" s="167"/>
      <c r="H18" s="167"/>
      <c r="I18" s="169"/>
      <c r="J18" s="22"/>
    </row>
    <row r="19" spans="2:13" ht="13.5" customHeight="1" x14ac:dyDescent="0.25">
      <c r="B19" s="18"/>
      <c r="C19" s="162"/>
      <c r="D19" s="178" t="s">
        <v>147</v>
      </c>
      <c r="E19" s="167"/>
      <c r="F19" s="166"/>
      <c r="G19" s="167"/>
      <c r="H19" s="167"/>
      <c r="I19" s="169"/>
      <c r="J19" s="22"/>
    </row>
    <row r="20" spans="2:13" ht="13.5" customHeight="1" x14ac:dyDescent="0.25">
      <c r="B20" s="18"/>
      <c r="C20" s="162"/>
      <c r="D20" s="167" t="s">
        <v>148</v>
      </c>
      <c r="E20" s="167"/>
      <c r="F20" s="174" t="s">
        <v>105</v>
      </c>
      <c r="G20" s="167"/>
      <c r="H20" s="167"/>
      <c r="I20" s="169"/>
      <c r="J20" s="22"/>
    </row>
    <row r="21" spans="2:13" ht="13.5" customHeight="1" x14ac:dyDescent="0.25">
      <c r="B21" s="18"/>
      <c r="C21" s="162"/>
      <c r="D21" s="167" t="s">
        <v>149</v>
      </c>
      <c r="E21" s="167"/>
      <c r="F21" s="174" t="s">
        <v>105</v>
      </c>
      <c r="G21" s="167"/>
      <c r="H21" s="167"/>
      <c r="I21" s="169"/>
      <c r="J21" s="22"/>
    </row>
    <row r="22" spans="2:13" ht="13.5" customHeight="1" x14ac:dyDescent="0.25">
      <c r="B22" s="18"/>
      <c r="C22" s="162"/>
      <c r="D22" s="167" t="s">
        <v>150</v>
      </c>
      <c r="E22" s="167"/>
      <c r="F22" s="174" t="s">
        <v>102</v>
      </c>
      <c r="G22" s="168"/>
      <c r="H22" s="168"/>
      <c r="I22" s="337"/>
      <c r="J22" s="32"/>
      <c r="K22" s="3"/>
      <c r="L22" s="3"/>
      <c r="M22" s="3"/>
    </row>
    <row r="23" spans="2:13" ht="13.5" customHeight="1" x14ac:dyDescent="0.25">
      <c r="B23" s="18"/>
      <c r="C23" s="162"/>
      <c r="D23" s="167" t="s">
        <v>151</v>
      </c>
      <c r="E23" s="167"/>
      <c r="F23" s="174">
        <v>2</v>
      </c>
      <c r="G23" s="168"/>
      <c r="H23" s="168"/>
      <c r="I23" s="337"/>
      <c r="J23" s="32"/>
      <c r="K23" s="3"/>
      <c r="L23" s="3"/>
      <c r="M23" s="3"/>
    </row>
    <row r="24" spans="2:13" ht="13.5" customHeight="1" x14ac:dyDescent="0.25">
      <c r="B24" s="18"/>
      <c r="C24" s="162"/>
      <c r="D24" s="167"/>
      <c r="E24" s="167"/>
      <c r="F24" s="166"/>
      <c r="G24" s="168"/>
      <c r="H24" s="168"/>
      <c r="I24" s="337"/>
      <c r="J24" s="32"/>
      <c r="K24" s="3"/>
      <c r="L24" s="3"/>
      <c r="M24" s="3"/>
    </row>
    <row r="25" spans="2:13" ht="13.5" customHeight="1" x14ac:dyDescent="0.25">
      <c r="B25" s="18"/>
      <c r="C25" s="162"/>
      <c r="D25" s="167" t="s">
        <v>152</v>
      </c>
      <c r="E25" s="167"/>
      <c r="F25" s="296">
        <f>IF(F14+F23&gt;H14,"verkeerde invoer",(VLOOKUP(F13,salaris2020,F14+F23+1,FALSE)-VLOOKUP(F13,salaris2020,F14+1,FALSE))*F16)</f>
        <v>202</v>
      </c>
      <c r="G25" s="168"/>
      <c r="H25" s="168"/>
      <c r="I25" s="337"/>
      <c r="J25" s="32"/>
      <c r="K25" s="3"/>
      <c r="L25" s="3"/>
      <c r="M25" s="3"/>
    </row>
    <row r="26" spans="2:13" ht="13.5" customHeight="1" x14ac:dyDescent="0.25">
      <c r="B26" s="18"/>
      <c r="C26" s="162"/>
      <c r="D26" s="167" t="s">
        <v>140</v>
      </c>
      <c r="E26" s="167"/>
      <c r="F26" s="322">
        <f>+tabellen!B128</f>
        <v>0.6</v>
      </c>
      <c r="G26" s="168"/>
      <c r="H26" s="168"/>
      <c r="I26" s="337"/>
      <c r="J26" s="32"/>
      <c r="K26" s="3"/>
      <c r="L26" s="3"/>
      <c r="M26" s="3"/>
    </row>
    <row r="27" spans="2:13" ht="13.5" customHeight="1" x14ac:dyDescent="0.25">
      <c r="B27" s="18"/>
      <c r="C27" s="162"/>
      <c r="D27" s="167" t="s">
        <v>141</v>
      </c>
      <c r="E27" s="167"/>
      <c r="F27" s="391">
        <f>+F25*12*(1+F26)</f>
        <v>3878.4</v>
      </c>
      <c r="G27" s="168"/>
      <c r="H27" s="168"/>
      <c r="I27" s="337"/>
      <c r="J27" s="32"/>
      <c r="K27" s="3"/>
      <c r="L27" s="3"/>
      <c r="M27" s="3"/>
    </row>
    <row r="28" spans="2:13" ht="13.5" customHeight="1" x14ac:dyDescent="0.25">
      <c r="B28" s="18"/>
      <c r="C28" s="162"/>
      <c r="D28" s="167" t="s">
        <v>153</v>
      </c>
      <c r="E28" s="167"/>
      <c r="F28" s="340">
        <f>IF(F23=0,0,+(H14-F14))</f>
        <v>8</v>
      </c>
      <c r="G28" s="168"/>
      <c r="H28" s="168"/>
      <c r="I28" s="337"/>
      <c r="J28" s="32"/>
      <c r="K28" s="3"/>
      <c r="L28" s="3"/>
      <c r="M28" s="3"/>
    </row>
    <row r="29" spans="2:13" ht="13.5" customHeight="1" x14ac:dyDescent="0.25">
      <c r="B29" s="18"/>
      <c r="C29" s="162"/>
      <c r="D29" s="167" t="s">
        <v>143</v>
      </c>
      <c r="E29" s="167"/>
      <c r="F29" s="341">
        <f>+U78*F16</f>
        <v>4063.2000000000007</v>
      </c>
      <c r="G29" s="196"/>
      <c r="H29" s="168"/>
      <c r="I29" s="337"/>
      <c r="J29" s="22"/>
    </row>
    <row r="30" spans="2:13" ht="13.5" customHeight="1" x14ac:dyDescent="0.25">
      <c r="B30" s="18"/>
      <c r="C30" s="162"/>
      <c r="D30" s="178" t="s">
        <v>154</v>
      </c>
      <c r="E30" s="167"/>
      <c r="F30" s="342">
        <f>+U77*F16</f>
        <v>32505.600000000006</v>
      </c>
      <c r="G30" s="167"/>
      <c r="H30" s="168"/>
      <c r="I30" s="337"/>
      <c r="J30" s="22"/>
    </row>
    <row r="31" spans="2:13" ht="13.5" customHeight="1" x14ac:dyDescent="0.25">
      <c r="B31" s="18"/>
      <c r="C31" s="206"/>
      <c r="D31" s="207"/>
      <c r="E31" s="207"/>
      <c r="F31" s="207"/>
      <c r="G31" s="207"/>
      <c r="H31" s="279"/>
      <c r="I31" s="338"/>
      <c r="J31" s="22"/>
    </row>
    <row r="32" spans="2:13" ht="13.5" customHeight="1" x14ac:dyDescent="0.25">
      <c r="B32" s="18"/>
      <c r="C32" s="19"/>
      <c r="D32" s="19"/>
      <c r="E32" s="19"/>
      <c r="F32" s="19"/>
      <c r="G32" s="19"/>
      <c r="H32" s="23"/>
      <c r="I32" s="23"/>
      <c r="J32" s="22"/>
    </row>
    <row r="33" spans="2:10" ht="13.5" customHeight="1" x14ac:dyDescent="0.25">
      <c r="B33" s="18"/>
      <c r="C33" s="155"/>
      <c r="D33" s="156"/>
      <c r="E33" s="156"/>
      <c r="F33" s="156"/>
      <c r="G33" s="156"/>
      <c r="H33" s="160"/>
      <c r="I33" s="339"/>
      <c r="J33" s="22"/>
    </row>
    <row r="34" spans="2:10" ht="13.5" customHeight="1" x14ac:dyDescent="0.25">
      <c r="B34" s="18"/>
      <c r="C34" s="162"/>
      <c r="D34" s="265" t="s">
        <v>155</v>
      </c>
      <c r="E34" s="168"/>
      <c r="F34" s="168"/>
      <c r="G34" s="168"/>
      <c r="H34" s="168"/>
      <c r="I34" s="337"/>
      <c r="J34" s="22"/>
    </row>
    <row r="35" spans="2:10" ht="13.5" customHeight="1" x14ac:dyDescent="0.25">
      <c r="B35" s="18"/>
      <c r="C35" s="162"/>
      <c r="D35" s="265"/>
      <c r="E35" s="168"/>
      <c r="F35" s="168"/>
      <c r="G35" s="168"/>
      <c r="H35" s="168"/>
      <c r="I35" s="337"/>
      <c r="J35" s="22"/>
    </row>
    <row r="36" spans="2:10" ht="13.5" customHeight="1" x14ac:dyDescent="0.25">
      <c r="B36" s="18"/>
      <c r="C36" s="162"/>
      <c r="D36" s="168" t="s">
        <v>165</v>
      </c>
      <c r="E36" s="167"/>
      <c r="F36" s="267" t="s">
        <v>156</v>
      </c>
      <c r="G36" s="267"/>
      <c r="H36" s="268"/>
      <c r="I36" s="337"/>
      <c r="J36" s="22"/>
    </row>
    <row r="37" spans="2:10" ht="13.5" customHeight="1" x14ac:dyDescent="0.25">
      <c r="B37" s="18"/>
      <c r="C37" s="162"/>
      <c r="D37" s="168"/>
      <c r="E37" s="167"/>
      <c r="F37" s="343"/>
      <c r="G37" s="268"/>
      <c r="H37" s="268"/>
      <c r="I37" s="337"/>
      <c r="J37" s="22"/>
    </row>
    <row r="38" spans="2:10" ht="13.5" customHeight="1" x14ac:dyDescent="0.25">
      <c r="B38" s="18"/>
      <c r="C38" s="162"/>
      <c r="D38" s="303" t="s">
        <v>118</v>
      </c>
      <c r="E38" s="168"/>
      <c r="F38" s="168"/>
      <c r="G38" s="168"/>
      <c r="H38" s="168"/>
      <c r="I38" s="337"/>
      <c r="J38" s="22"/>
    </row>
    <row r="39" spans="2:10" ht="13.5" customHeight="1" x14ac:dyDescent="0.25">
      <c r="B39" s="18"/>
      <c r="C39" s="162"/>
      <c r="D39" s="168" t="s">
        <v>119</v>
      </c>
      <c r="E39" s="168"/>
      <c r="F39" s="318">
        <v>500</v>
      </c>
      <c r="G39" s="168"/>
      <c r="H39" s="168"/>
      <c r="I39" s="337"/>
      <c r="J39" s="22"/>
    </row>
    <row r="40" spans="2:10" ht="13.5" customHeight="1" x14ac:dyDescent="0.25">
      <c r="B40" s="18"/>
      <c r="C40" s="162"/>
      <c r="D40" s="168" t="s">
        <v>121</v>
      </c>
      <c r="E40" s="168"/>
      <c r="F40" s="322">
        <v>0.73899999999999999</v>
      </c>
      <c r="G40" s="168"/>
      <c r="H40" s="168"/>
      <c r="I40" s="337"/>
      <c r="J40" s="22"/>
    </row>
    <row r="41" spans="2:10" ht="13.5" customHeight="1" x14ac:dyDescent="0.25">
      <c r="B41" s="18"/>
      <c r="C41" s="162"/>
      <c r="D41" s="168" t="s">
        <v>157</v>
      </c>
      <c r="E41" s="168"/>
      <c r="F41" s="344">
        <f>ROUND(+F39*F40,0)</f>
        <v>370</v>
      </c>
      <c r="G41" s="168"/>
      <c r="H41" s="168"/>
      <c r="I41" s="337"/>
      <c r="J41" s="22"/>
    </row>
    <row r="42" spans="2:10" ht="13.5" customHeight="1" x14ac:dyDescent="0.25">
      <c r="B42" s="18"/>
      <c r="C42" s="162"/>
      <c r="D42" s="168"/>
      <c r="E42" s="168"/>
      <c r="F42" s="197"/>
      <c r="G42" s="168"/>
      <c r="H42" s="168"/>
      <c r="I42" s="337"/>
      <c r="J42" s="22"/>
    </row>
    <row r="43" spans="2:10" ht="13.5" customHeight="1" x14ac:dyDescent="0.25">
      <c r="B43" s="18"/>
      <c r="C43" s="162"/>
      <c r="D43" s="168" t="s">
        <v>158</v>
      </c>
      <c r="E43" s="168"/>
      <c r="F43" s="345">
        <v>0.02</v>
      </c>
      <c r="G43" s="168"/>
      <c r="H43" s="168"/>
      <c r="I43" s="346"/>
      <c r="J43" s="117"/>
    </row>
    <row r="44" spans="2:10" ht="13.5" customHeight="1" x14ac:dyDescent="0.25">
      <c r="B44" s="18"/>
      <c r="C44" s="162"/>
      <c r="D44" s="168" t="s">
        <v>157</v>
      </c>
      <c r="E44" s="168"/>
      <c r="F44" s="326">
        <f>ROUND(+F41*F43,0)</f>
        <v>7</v>
      </c>
      <c r="G44" s="168"/>
      <c r="H44" s="168"/>
      <c r="I44" s="346"/>
      <c r="J44" s="117"/>
    </row>
    <row r="45" spans="2:10" ht="13.5" customHeight="1" x14ac:dyDescent="0.25">
      <c r="B45" s="18"/>
      <c r="C45" s="162"/>
      <c r="D45" s="168" t="s">
        <v>159</v>
      </c>
      <c r="E45" s="168"/>
      <c r="F45" s="347">
        <v>3000</v>
      </c>
      <c r="G45" s="168"/>
      <c r="H45" s="168"/>
      <c r="I45" s="346"/>
      <c r="J45" s="117"/>
    </row>
    <row r="46" spans="2:10" ht="13.5" customHeight="1" x14ac:dyDescent="0.25">
      <c r="B46" s="18"/>
      <c r="C46" s="162"/>
      <c r="D46" s="168"/>
      <c r="E46" s="168"/>
      <c r="F46" s="348"/>
      <c r="G46" s="168"/>
      <c r="H46" s="168"/>
      <c r="I46" s="346"/>
      <c r="J46" s="117"/>
    </row>
    <row r="47" spans="2:10" s="2" customFormat="1" ht="13.5" customHeight="1" x14ac:dyDescent="0.25">
      <c r="B47" s="27"/>
      <c r="C47" s="170"/>
      <c r="D47" s="271" t="s">
        <v>160</v>
      </c>
      <c r="E47" s="271"/>
      <c r="F47" s="330">
        <f>+F44*F45</f>
        <v>21000</v>
      </c>
      <c r="G47" s="271"/>
      <c r="H47" s="271"/>
      <c r="I47" s="349"/>
      <c r="J47" s="118"/>
    </row>
    <row r="48" spans="2:10" ht="13.5" customHeight="1" x14ac:dyDescent="0.25">
      <c r="B48" s="18"/>
      <c r="C48" s="206"/>
      <c r="D48" s="350"/>
      <c r="E48" s="279"/>
      <c r="F48" s="279"/>
      <c r="G48" s="279"/>
      <c r="H48" s="279"/>
      <c r="I48" s="351"/>
      <c r="J48" s="117"/>
    </row>
    <row r="49" spans="2:23" ht="13.5" customHeight="1" x14ac:dyDescent="0.25">
      <c r="B49" s="18"/>
      <c r="C49" s="19"/>
      <c r="D49" s="19"/>
      <c r="E49" s="19"/>
      <c r="F49" s="19"/>
      <c r="G49" s="19"/>
      <c r="H49" s="19"/>
      <c r="I49" s="41"/>
      <c r="J49" s="117"/>
    </row>
    <row r="50" spans="2:23" ht="13.5" customHeight="1" x14ac:dyDescent="0.25">
      <c r="B50" s="18"/>
      <c r="C50" s="19"/>
      <c r="D50" s="19"/>
      <c r="E50" s="19"/>
      <c r="F50" s="19"/>
      <c r="G50" s="19"/>
      <c r="H50" s="19"/>
      <c r="I50" s="41"/>
      <c r="J50" s="117"/>
    </row>
    <row r="51" spans="2:23" ht="13.5" customHeight="1" x14ac:dyDescent="0.25">
      <c r="B51" s="83"/>
      <c r="C51" s="84"/>
      <c r="D51" s="84"/>
      <c r="E51" s="84"/>
      <c r="F51" s="84"/>
      <c r="G51" s="84"/>
      <c r="H51" s="84"/>
      <c r="I51" s="427" t="s">
        <v>276</v>
      </c>
      <c r="J51" s="119"/>
    </row>
    <row r="52" spans="2:23" ht="13.5" customHeight="1" x14ac:dyDescent="0.25">
      <c r="B52" s="150"/>
      <c r="C52" s="150"/>
      <c r="D52" s="150"/>
      <c r="E52" s="150"/>
      <c r="F52" s="150"/>
      <c r="G52" s="150"/>
      <c r="H52" s="150"/>
      <c r="I52" s="152"/>
      <c r="J52" s="151"/>
    </row>
    <row r="53" spans="2:23" ht="13.5" customHeight="1" x14ac:dyDescent="0.25">
      <c r="B53" s="150"/>
      <c r="C53" s="150"/>
      <c r="D53" s="150"/>
      <c r="E53" s="150"/>
      <c r="F53" s="150"/>
      <c r="G53" s="150"/>
      <c r="H53" s="150"/>
      <c r="I53" s="152"/>
      <c r="J53" s="151"/>
    </row>
    <row r="54" spans="2:23" ht="13.5" customHeight="1" x14ac:dyDescent="0.25">
      <c r="I54" s="120"/>
      <c r="J54" s="120"/>
      <c r="N54" s="1" t="s">
        <v>161</v>
      </c>
    </row>
    <row r="55" spans="2:23" ht="13.5" customHeight="1" x14ac:dyDescent="0.25">
      <c r="I55" s="120"/>
      <c r="J55" s="120"/>
      <c r="K55" s="4" t="s">
        <v>78</v>
      </c>
      <c r="L55" s="4"/>
      <c r="M55" s="4"/>
      <c r="N55" s="1" t="s">
        <v>16</v>
      </c>
      <c r="O55" s="1" t="s">
        <v>24</v>
      </c>
      <c r="P55" s="1" t="s">
        <v>23</v>
      </c>
      <c r="U55" s="1" t="s">
        <v>25</v>
      </c>
    </row>
    <row r="56" spans="2:23" ht="13.5" customHeight="1" x14ac:dyDescent="0.25">
      <c r="I56" s="120"/>
      <c r="J56" s="120"/>
      <c r="K56" s="4" t="s">
        <v>71</v>
      </c>
      <c r="L56" s="4"/>
      <c r="M56" s="4"/>
      <c r="N56" s="1" t="str">
        <f t="shared" ref="N56:N75" si="0">+$F$13</f>
        <v>L10</v>
      </c>
      <c r="O56" s="1">
        <f t="shared" ref="O56:O75" si="1">+$F$14+$F$23+W56</f>
        <v>9</v>
      </c>
      <c r="P56" s="1">
        <f t="shared" ref="P56:P75" si="2">+$F$14+W56</f>
        <v>7</v>
      </c>
      <c r="R56" s="6">
        <f t="shared" ref="R56:R75" si="3">IF(O56&gt;$H$14,VLOOKUP($N56,salaris2020,$H$14+1,FALSE),VLOOKUP($N56,salaris2020,O56+1,FALSE))*12*(1+F$26)</f>
        <v>65644.800000000003</v>
      </c>
      <c r="S56" s="6">
        <f t="shared" ref="S56:S75" si="4">IF(P56&gt;$H$14,VLOOKUP($N56,salaris2020,$H$14+1,FALSE),VLOOKUP($N56,salaris2020,P56+1,FALSE))*12*(1+F$26)</f>
        <v>61766.400000000001</v>
      </c>
      <c r="U56" s="6">
        <f>+R56-S56</f>
        <v>3878.4000000000015</v>
      </c>
      <c r="W56" s="1">
        <v>0</v>
      </c>
    </row>
    <row r="57" spans="2:23" ht="13.5" customHeight="1" x14ac:dyDescent="0.25">
      <c r="I57" s="120"/>
      <c r="J57" s="120"/>
      <c r="K57" s="4" t="s">
        <v>72</v>
      </c>
      <c r="L57" s="4"/>
      <c r="M57" s="4"/>
      <c r="N57" s="1" t="str">
        <f t="shared" si="0"/>
        <v>L10</v>
      </c>
      <c r="O57" s="1">
        <f t="shared" si="1"/>
        <v>10</v>
      </c>
      <c r="P57" s="1">
        <f t="shared" si="2"/>
        <v>8</v>
      </c>
      <c r="R57" s="6">
        <f t="shared" si="3"/>
        <v>67680</v>
      </c>
      <c r="S57" s="6">
        <f t="shared" si="4"/>
        <v>63667.200000000004</v>
      </c>
      <c r="U57" s="6">
        <f t="shared" ref="U57:U75" si="5">+R57-S57</f>
        <v>4012.7999999999956</v>
      </c>
      <c r="W57" s="1">
        <v>1</v>
      </c>
    </row>
    <row r="58" spans="2:23" ht="13.5" customHeight="1" x14ac:dyDescent="0.25">
      <c r="I58" s="120"/>
      <c r="J58" s="120"/>
      <c r="K58" s="4" t="s">
        <v>73</v>
      </c>
      <c r="L58" s="4"/>
      <c r="M58" s="4"/>
      <c r="N58" s="1" t="str">
        <f t="shared" si="0"/>
        <v>L10</v>
      </c>
      <c r="O58" s="1">
        <f t="shared" si="1"/>
        <v>11</v>
      </c>
      <c r="P58" s="1">
        <f t="shared" si="2"/>
        <v>9</v>
      </c>
      <c r="R58" s="6">
        <f t="shared" si="3"/>
        <v>69772.800000000003</v>
      </c>
      <c r="S58" s="6">
        <f t="shared" si="4"/>
        <v>65644.800000000003</v>
      </c>
      <c r="U58" s="6">
        <f t="shared" si="5"/>
        <v>4128</v>
      </c>
      <c r="W58" s="1">
        <v>2</v>
      </c>
    </row>
    <row r="59" spans="2:23" ht="13.5" customHeight="1" x14ac:dyDescent="0.25">
      <c r="I59" s="120"/>
      <c r="J59" s="120"/>
      <c r="K59" s="4" t="s">
        <v>74</v>
      </c>
      <c r="L59" s="4"/>
      <c r="M59" s="4"/>
      <c r="N59" s="1" t="str">
        <f t="shared" si="0"/>
        <v>L10</v>
      </c>
      <c r="O59" s="1">
        <f t="shared" si="1"/>
        <v>12</v>
      </c>
      <c r="P59" s="1">
        <f t="shared" si="2"/>
        <v>10</v>
      </c>
      <c r="R59" s="6">
        <f t="shared" si="3"/>
        <v>71942.400000000009</v>
      </c>
      <c r="S59" s="6">
        <f t="shared" si="4"/>
        <v>67680</v>
      </c>
      <c r="U59" s="6">
        <f t="shared" si="5"/>
        <v>4262.4000000000087</v>
      </c>
      <c r="W59" s="1">
        <v>3</v>
      </c>
    </row>
    <row r="60" spans="2:23" ht="13.5" customHeight="1" x14ac:dyDescent="0.25">
      <c r="I60" s="120"/>
      <c r="J60" s="120"/>
      <c r="K60" s="4" t="s">
        <v>75</v>
      </c>
      <c r="L60" s="4"/>
      <c r="M60" s="4"/>
      <c r="N60" s="1" t="str">
        <f t="shared" si="0"/>
        <v>L10</v>
      </c>
      <c r="O60" s="1">
        <f t="shared" si="1"/>
        <v>13</v>
      </c>
      <c r="P60" s="1">
        <f t="shared" si="2"/>
        <v>11</v>
      </c>
      <c r="R60" s="6">
        <f t="shared" si="3"/>
        <v>74150.400000000009</v>
      </c>
      <c r="S60" s="6">
        <f t="shared" si="4"/>
        <v>69772.800000000003</v>
      </c>
      <c r="U60" s="6">
        <f t="shared" si="5"/>
        <v>4377.6000000000058</v>
      </c>
      <c r="W60" s="1">
        <v>4</v>
      </c>
    </row>
    <row r="61" spans="2:23" ht="13.5" customHeight="1" x14ac:dyDescent="0.25">
      <c r="I61" s="120"/>
      <c r="J61" s="120"/>
      <c r="K61" s="4" t="s">
        <v>76</v>
      </c>
      <c r="L61" s="4"/>
      <c r="M61" s="4"/>
      <c r="N61" s="1" t="str">
        <f t="shared" si="0"/>
        <v>L10</v>
      </c>
      <c r="O61" s="1">
        <f t="shared" si="1"/>
        <v>14</v>
      </c>
      <c r="P61" s="1">
        <f t="shared" si="2"/>
        <v>12</v>
      </c>
      <c r="R61" s="6">
        <f t="shared" si="3"/>
        <v>76454.400000000009</v>
      </c>
      <c r="S61" s="6">
        <f t="shared" si="4"/>
        <v>71942.400000000009</v>
      </c>
      <c r="U61" s="6">
        <f t="shared" si="5"/>
        <v>4512</v>
      </c>
      <c r="W61" s="1">
        <v>5</v>
      </c>
    </row>
    <row r="62" spans="2:23" ht="13.5" customHeight="1" x14ac:dyDescent="0.25">
      <c r="I62" s="120"/>
      <c r="J62" s="120"/>
      <c r="K62" s="4" t="s">
        <v>77</v>
      </c>
      <c r="L62" s="113"/>
      <c r="M62" s="113"/>
      <c r="N62" s="1" t="str">
        <f t="shared" si="0"/>
        <v>L10</v>
      </c>
      <c r="O62" s="1">
        <f t="shared" si="1"/>
        <v>15</v>
      </c>
      <c r="P62" s="1">
        <f t="shared" si="2"/>
        <v>13</v>
      </c>
      <c r="R62" s="6">
        <f t="shared" si="3"/>
        <v>78969.600000000006</v>
      </c>
      <c r="S62" s="6">
        <f t="shared" si="4"/>
        <v>74150.400000000009</v>
      </c>
      <c r="U62" s="6">
        <f t="shared" si="5"/>
        <v>4819.1999999999971</v>
      </c>
      <c r="W62" s="1">
        <v>6</v>
      </c>
    </row>
    <row r="63" spans="2:23" ht="13.5" customHeight="1" x14ac:dyDescent="0.25">
      <c r="I63" s="120"/>
      <c r="J63" s="120"/>
      <c r="K63" s="4" t="s">
        <v>2</v>
      </c>
      <c r="L63" s="113"/>
      <c r="M63" s="113"/>
      <c r="N63" s="1" t="str">
        <f t="shared" si="0"/>
        <v>L10</v>
      </c>
      <c r="O63" s="1">
        <f t="shared" si="1"/>
        <v>16</v>
      </c>
      <c r="P63" s="1">
        <f t="shared" si="2"/>
        <v>14</v>
      </c>
      <c r="R63" s="6">
        <f t="shared" si="3"/>
        <v>78969.600000000006</v>
      </c>
      <c r="S63" s="6">
        <f t="shared" si="4"/>
        <v>76454.400000000009</v>
      </c>
      <c r="U63" s="6">
        <f t="shared" si="5"/>
        <v>2515.1999999999971</v>
      </c>
      <c r="W63" s="1">
        <v>7</v>
      </c>
    </row>
    <row r="64" spans="2:23" ht="13.5" customHeight="1" x14ac:dyDescent="0.25">
      <c r="I64" s="120"/>
      <c r="J64" s="120"/>
      <c r="K64" s="4" t="s">
        <v>3</v>
      </c>
      <c r="L64" s="4"/>
      <c r="M64" s="4"/>
      <c r="N64" s="1" t="str">
        <f t="shared" si="0"/>
        <v>L10</v>
      </c>
      <c r="O64" s="1">
        <f t="shared" si="1"/>
        <v>17</v>
      </c>
      <c r="P64" s="1">
        <f t="shared" si="2"/>
        <v>15</v>
      </c>
      <c r="R64" s="6">
        <f t="shared" si="3"/>
        <v>78969.600000000006</v>
      </c>
      <c r="S64" s="6">
        <f t="shared" si="4"/>
        <v>78969.600000000006</v>
      </c>
      <c r="U64" s="6">
        <f t="shared" si="5"/>
        <v>0</v>
      </c>
      <c r="W64" s="1">
        <v>8</v>
      </c>
    </row>
    <row r="65" spans="9:23" ht="13.5" customHeight="1" x14ac:dyDescent="0.25">
      <c r="I65" s="120"/>
      <c r="J65" s="120"/>
      <c r="K65" s="4" t="s">
        <v>4</v>
      </c>
      <c r="L65" s="4"/>
      <c r="M65" s="4"/>
      <c r="N65" s="1" t="str">
        <f t="shared" si="0"/>
        <v>L10</v>
      </c>
      <c r="O65" s="1">
        <f t="shared" si="1"/>
        <v>18</v>
      </c>
      <c r="P65" s="1">
        <f t="shared" si="2"/>
        <v>16</v>
      </c>
      <c r="R65" s="6">
        <f t="shared" si="3"/>
        <v>78969.600000000006</v>
      </c>
      <c r="S65" s="6">
        <f t="shared" si="4"/>
        <v>78969.600000000006</v>
      </c>
      <c r="U65" s="6">
        <f t="shared" si="5"/>
        <v>0</v>
      </c>
      <c r="W65" s="1">
        <v>9</v>
      </c>
    </row>
    <row r="66" spans="9:23" ht="13.5" customHeight="1" x14ac:dyDescent="0.25">
      <c r="I66" s="120"/>
      <c r="J66" s="120"/>
      <c r="K66" s="4" t="s">
        <v>5</v>
      </c>
      <c r="L66" s="4"/>
      <c r="M66" s="4"/>
      <c r="N66" s="1" t="str">
        <f t="shared" si="0"/>
        <v>L10</v>
      </c>
      <c r="O66" s="1">
        <f t="shared" si="1"/>
        <v>19</v>
      </c>
      <c r="P66" s="1">
        <f t="shared" si="2"/>
        <v>17</v>
      </c>
      <c r="R66" s="6">
        <f t="shared" si="3"/>
        <v>78969.600000000006</v>
      </c>
      <c r="S66" s="6">
        <f t="shared" si="4"/>
        <v>78969.600000000006</v>
      </c>
      <c r="U66" s="6">
        <f t="shared" si="5"/>
        <v>0</v>
      </c>
      <c r="W66" s="1">
        <v>10</v>
      </c>
    </row>
    <row r="67" spans="9:23" ht="13.5" customHeight="1" x14ac:dyDescent="0.25">
      <c r="I67" s="120"/>
      <c r="J67" s="120"/>
      <c r="K67" s="4" t="s">
        <v>6</v>
      </c>
      <c r="L67" s="4"/>
      <c r="M67" s="4"/>
      <c r="N67" s="1" t="str">
        <f t="shared" si="0"/>
        <v>L10</v>
      </c>
      <c r="O67" s="1">
        <f t="shared" si="1"/>
        <v>20</v>
      </c>
      <c r="P67" s="1">
        <f t="shared" si="2"/>
        <v>18</v>
      </c>
      <c r="R67" s="6">
        <f t="shared" si="3"/>
        <v>78969.600000000006</v>
      </c>
      <c r="S67" s="6">
        <f t="shared" si="4"/>
        <v>78969.600000000006</v>
      </c>
      <c r="U67" s="6">
        <f t="shared" si="5"/>
        <v>0</v>
      </c>
      <c r="W67" s="1">
        <v>11</v>
      </c>
    </row>
    <row r="68" spans="9:23" ht="13.5" customHeight="1" x14ac:dyDescent="0.25">
      <c r="I68" s="120"/>
      <c r="J68" s="120"/>
      <c r="K68" s="4" t="s">
        <v>7</v>
      </c>
      <c r="L68" s="4"/>
      <c r="M68" s="4"/>
      <c r="N68" s="1" t="str">
        <f t="shared" si="0"/>
        <v>L10</v>
      </c>
      <c r="O68" s="1">
        <f t="shared" si="1"/>
        <v>21</v>
      </c>
      <c r="P68" s="1">
        <f t="shared" si="2"/>
        <v>19</v>
      </c>
      <c r="R68" s="6">
        <f t="shared" si="3"/>
        <v>78969.600000000006</v>
      </c>
      <c r="S68" s="6">
        <f t="shared" si="4"/>
        <v>78969.600000000006</v>
      </c>
      <c r="U68" s="6">
        <f t="shared" si="5"/>
        <v>0</v>
      </c>
      <c r="W68" s="1">
        <v>12</v>
      </c>
    </row>
    <row r="69" spans="9:23" ht="13.5" customHeight="1" x14ac:dyDescent="0.25">
      <c r="I69" s="120"/>
      <c r="J69" s="120"/>
      <c r="K69" s="4" t="s">
        <v>8</v>
      </c>
      <c r="L69" s="4"/>
      <c r="M69" s="4"/>
      <c r="N69" s="1" t="str">
        <f t="shared" si="0"/>
        <v>L10</v>
      </c>
      <c r="O69" s="1">
        <f t="shared" si="1"/>
        <v>22</v>
      </c>
      <c r="P69" s="1">
        <f t="shared" si="2"/>
        <v>20</v>
      </c>
      <c r="R69" s="6">
        <f t="shared" si="3"/>
        <v>78969.600000000006</v>
      </c>
      <c r="S69" s="6">
        <f t="shared" si="4"/>
        <v>78969.600000000006</v>
      </c>
      <c r="U69" s="6">
        <f t="shared" si="5"/>
        <v>0</v>
      </c>
      <c r="W69" s="1">
        <v>13</v>
      </c>
    </row>
    <row r="70" spans="9:23" ht="13.5" customHeight="1" x14ac:dyDescent="0.25">
      <c r="I70" s="120"/>
      <c r="J70" s="120"/>
      <c r="K70" s="4" t="s">
        <v>9</v>
      </c>
      <c r="L70" s="4"/>
      <c r="M70" s="4"/>
      <c r="N70" s="1" t="str">
        <f t="shared" si="0"/>
        <v>L10</v>
      </c>
      <c r="O70" s="1">
        <f t="shared" si="1"/>
        <v>23</v>
      </c>
      <c r="P70" s="1">
        <f t="shared" si="2"/>
        <v>21</v>
      </c>
      <c r="R70" s="6">
        <f t="shared" si="3"/>
        <v>78969.600000000006</v>
      </c>
      <c r="S70" s="6">
        <f t="shared" si="4"/>
        <v>78969.600000000006</v>
      </c>
      <c r="U70" s="6">
        <f t="shared" si="5"/>
        <v>0</v>
      </c>
      <c r="W70" s="1">
        <v>14</v>
      </c>
    </row>
    <row r="71" spans="9:23" ht="13.5" customHeight="1" x14ac:dyDescent="0.25">
      <c r="I71" s="120"/>
      <c r="J71" s="120"/>
      <c r="K71" s="4" t="s">
        <v>10</v>
      </c>
      <c r="L71" s="4"/>
      <c r="M71" s="4"/>
      <c r="N71" s="1" t="str">
        <f t="shared" si="0"/>
        <v>L10</v>
      </c>
      <c r="O71" s="1">
        <f t="shared" si="1"/>
        <v>24</v>
      </c>
      <c r="P71" s="1">
        <f t="shared" si="2"/>
        <v>22</v>
      </c>
      <c r="R71" s="6">
        <f t="shared" si="3"/>
        <v>78969.600000000006</v>
      </c>
      <c r="S71" s="6">
        <f t="shared" si="4"/>
        <v>78969.600000000006</v>
      </c>
      <c r="U71" s="6">
        <f t="shared" si="5"/>
        <v>0</v>
      </c>
      <c r="W71" s="1">
        <v>15</v>
      </c>
    </row>
    <row r="72" spans="9:23" ht="13.5" customHeight="1" x14ac:dyDescent="0.25">
      <c r="I72" s="120"/>
      <c r="J72" s="120"/>
      <c r="K72" s="4" t="s">
        <v>11</v>
      </c>
      <c r="L72" s="4"/>
      <c r="M72" s="4"/>
      <c r="N72" s="1" t="str">
        <f t="shared" si="0"/>
        <v>L10</v>
      </c>
      <c r="O72" s="1">
        <f t="shared" si="1"/>
        <v>25</v>
      </c>
      <c r="P72" s="1">
        <f t="shared" si="2"/>
        <v>23</v>
      </c>
      <c r="R72" s="6">
        <f t="shared" si="3"/>
        <v>78969.600000000006</v>
      </c>
      <c r="S72" s="6">
        <f t="shared" si="4"/>
        <v>78969.600000000006</v>
      </c>
      <c r="U72" s="6">
        <f t="shared" si="5"/>
        <v>0</v>
      </c>
      <c r="W72" s="1">
        <v>16</v>
      </c>
    </row>
    <row r="73" spans="9:23" ht="13.5" customHeight="1" x14ac:dyDescent="0.25">
      <c r="I73" s="120"/>
      <c r="J73" s="120"/>
      <c r="K73" s="4" t="s">
        <v>12</v>
      </c>
      <c r="L73" s="4"/>
      <c r="M73" s="4"/>
      <c r="N73" s="1" t="str">
        <f t="shared" si="0"/>
        <v>L10</v>
      </c>
      <c r="O73" s="1">
        <f t="shared" si="1"/>
        <v>26</v>
      </c>
      <c r="P73" s="1">
        <f t="shared" si="2"/>
        <v>24</v>
      </c>
      <c r="R73" s="6">
        <f t="shared" si="3"/>
        <v>78969.600000000006</v>
      </c>
      <c r="S73" s="6">
        <f t="shared" si="4"/>
        <v>78969.600000000006</v>
      </c>
      <c r="U73" s="6">
        <f t="shared" si="5"/>
        <v>0</v>
      </c>
      <c r="W73" s="1">
        <v>17</v>
      </c>
    </row>
    <row r="74" spans="9:23" ht="13.5" customHeight="1" x14ac:dyDescent="0.25">
      <c r="I74" s="120"/>
      <c r="J74" s="120"/>
      <c r="K74" s="4" t="s">
        <v>13</v>
      </c>
      <c r="L74" s="4"/>
      <c r="M74" s="4"/>
      <c r="N74" s="1" t="str">
        <f t="shared" si="0"/>
        <v>L10</v>
      </c>
      <c r="O74" s="1">
        <f t="shared" si="1"/>
        <v>27</v>
      </c>
      <c r="P74" s="1">
        <f t="shared" si="2"/>
        <v>25</v>
      </c>
      <c r="R74" s="6">
        <f t="shared" si="3"/>
        <v>78969.600000000006</v>
      </c>
      <c r="S74" s="6">
        <f t="shared" si="4"/>
        <v>78969.600000000006</v>
      </c>
      <c r="U74" s="6">
        <f t="shared" si="5"/>
        <v>0</v>
      </c>
      <c r="W74" s="1">
        <v>18</v>
      </c>
    </row>
    <row r="75" spans="9:23" ht="13.5" customHeight="1" x14ac:dyDescent="0.25">
      <c r="I75" s="120"/>
      <c r="J75" s="120"/>
      <c r="K75" s="516" t="s">
        <v>327</v>
      </c>
      <c r="L75" s="4"/>
      <c r="M75" s="4"/>
      <c r="N75" s="1" t="str">
        <f t="shared" si="0"/>
        <v>L10</v>
      </c>
      <c r="O75" s="1">
        <f t="shared" si="1"/>
        <v>28</v>
      </c>
      <c r="P75" s="1">
        <f t="shared" si="2"/>
        <v>26</v>
      </c>
      <c r="R75" s="6">
        <f t="shared" si="3"/>
        <v>78969.600000000006</v>
      </c>
      <c r="S75" s="6">
        <f t="shared" si="4"/>
        <v>78969.600000000006</v>
      </c>
      <c r="U75" s="6">
        <f t="shared" si="5"/>
        <v>0</v>
      </c>
      <c r="W75" s="1">
        <v>19</v>
      </c>
    </row>
    <row r="76" spans="9:23" ht="13.5" customHeight="1" x14ac:dyDescent="0.25">
      <c r="I76" s="120"/>
      <c r="J76" s="120"/>
      <c r="K76" s="516" t="s">
        <v>328</v>
      </c>
      <c r="L76" s="4"/>
      <c r="M76" s="4"/>
    </row>
    <row r="77" spans="9:23" ht="13.5" customHeight="1" x14ac:dyDescent="0.25">
      <c r="I77" s="120"/>
      <c r="J77" s="120"/>
      <c r="K77" s="516" t="s">
        <v>329</v>
      </c>
      <c r="L77" s="4"/>
      <c r="M77" s="4"/>
      <c r="U77" s="6">
        <f>SUM(U56:U75)</f>
        <v>32505.600000000006</v>
      </c>
    </row>
    <row r="78" spans="9:23" ht="13.5" customHeight="1" x14ac:dyDescent="0.25">
      <c r="I78" s="120"/>
      <c r="J78" s="120"/>
      <c r="K78" s="516" t="s">
        <v>330</v>
      </c>
      <c r="L78" s="4"/>
      <c r="M78" s="4"/>
      <c r="S78" s="1" t="s">
        <v>26</v>
      </c>
      <c r="U78" s="6">
        <f>IF(F28=0,0,+U77/F28)</f>
        <v>4063.2000000000007</v>
      </c>
    </row>
    <row r="79" spans="9:23" ht="13.5" customHeight="1" x14ac:dyDescent="0.25">
      <c r="I79" s="120"/>
      <c r="J79" s="120"/>
      <c r="K79" s="516" t="s">
        <v>331</v>
      </c>
      <c r="L79" s="4"/>
      <c r="M79" s="4"/>
    </row>
    <row r="80" spans="9:23" ht="13.5" customHeight="1" x14ac:dyDescent="0.25">
      <c r="I80" s="120"/>
      <c r="J80" s="120"/>
      <c r="K80" s="4" t="s">
        <v>14</v>
      </c>
      <c r="L80" s="4"/>
      <c r="M80" s="4"/>
    </row>
    <row r="81" spans="6:13" ht="13.5" customHeight="1" x14ac:dyDescent="0.25">
      <c r="I81" s="120"/>
      <c r="J81" s="120"/>
      <c r="K81" s="4" t="s">
        <v>15</v>
      </c>
      <c r="L81" s="4"/>
      <c r="M81" s="4"/>
    </row>
    <row r="82" spans="6:13" ht="13.5" customHeight="1" x14ac:dyDescent="0.25">
      <c r="I82" s="120"/>
      <c r="J82" s="120"/>
      <c r="K82" s="4">
        <v>1</v>
      </c>
      <c r="L82" s="4"/>
      <c r="M82" s="4"/>
    </row>
    <row r="83" spans="6:13" ht="13.5" customHeight="1" x14ac:dyDescent="0.25">
      <c r="I83" s="120"/>
      <c r="J83" s="120"/>
      <c r="K83" s="4">
        <v>2</v>
      </c>
      <c r="L83" s="4"/>
      <c r="M83" s="4"/>
    </row>
    <row r="84" spans="6:13" ht="13.5" customHeight="1" x14ac:dyDescent="0.25">
      <c r="I84" s="120"/>
      <c r="J84" s="120"/>
      <c r="K84" s="4">
        <v>3</v>
      </c>
      <c r="L84" s="4"/>
      <c r="M84" s="4"/>
    </row>
    <row r="85" spans="6:13" ht="13.5" customHeight="1" x14ac:dyDescent="0.25">
      <c r="I85" s="120"/>
      <c r="J85" s="120"/>
      <c r="K85" s="4">
        <v>4</v>
      </c>
      <c r="L85" s="4"/>
      <c r="M85" s="4"/>
    </row>
    <row r="86" spans="6:13" ht="13.5" customHeight="1" x14ac:dyDescent="0.25">
      <c r="F86" s="6"/>
      <c r="G86" s="6"/>
      <c r="I86" s="120"/>
      <c r="J86" s="120"/>
      <c r="K86" s="4">
        <v>5</v>
      </c>
      <c r="L86" s="4"/>
      <c r="M86" s="4"/>
    </row>
    <row r="87" spans="6:13" ht="13.5" customHeight="1" x14ac:dyDescent="0.25">
      <c r="F87" s="6"/>
      <c r="G87" s="6"/>
      <c r="I87" s="120"/>
      <c r="J87" s="120"/>
      <c r="K87" s="4">
        <v>6</v>
      </c>
      <c r="L87" s="4"/>
      <c r="M87" s="4"/>
    </row>
    <row r="88" spans="6:13" ht="13.5" customHeight="1" x14ac:dyDescent="0.25">
      <c r="F88" s="6"/>
      <c r="G88" s="6"/>
      <c r="I88" s="120"/>
      <c r="J88" s="120"/>
      <c r="K88" s="4">
        <v>7</v>
      </c>
      <c r="L88" s="4"/>
      <c r="M88" s="4"/>
    </row>
    <row r="89" spans="6:13" ht="13.5" customHeight="1" x14ac:dyDescent="0.25">
      <c r="F89" s="6"/>
      <c r="G89" s="6"/>
      <c r="I89" s="120"/>
      <c r="J89" s="120"/>
      <c r="K89" s="4">
        <v>8</v>
      </c>
      <c r="L89" s="4"/>
      <c r="M89" s="4"/>
    </row>
    <row r="90" spans="6:13" ht="13.5" customHeight="1" x14ac:dyDescent="0.25">
      <c r="F90" s="6"/>
      <c r="G90" s="6"/>
      <c r="I90" s="120"/>
      <c r="J90" s="120"/>
      <c r="K90" s="4">
        <v>9</v>
      </c>
      <c r="L90" s="4"/>
      <c r="M90" s="4"/>
    </row>
    <row r="91" spans="6:13" ht="13.5" customHeight="1" x14ac:dyDescent="0.25">
      <c r="F91" s="6"/>
      <c r="G91" s="6"/>
      <c r="I91" s="120"/>
      <c r="J91" s="120"/>
      <c r="K91" s="4">
        <v>10</v>
      </c>
      <c r="L91" s="4"/>
      <c r="M91" s="4"/>
    </row>
    <row r="92" spans="6:13" ht="13.5" customHeight="1" x14ac:dyDescent="0.25">
      <c r="F92" s="6"/>
      <c r="G92" s="6"/>
      <c r="I92" s="120"/>
      <c r="J92" s="120"/>
      <c r="K92" s="4">
        <v>11</v>
      </c>
      <c r="L92" s="4"/>
      <c r="M92" s="4"/>
    </row>
    <row r="93" spans="6:13" ht="13.5" customHeight="1" x14ac:dyDescent="0.25">
      <c r="F93" s="6"/>
      <c r="G93" s="6"/>
      <c r="I93" s="120"/>
      <c r="J93" s="120"/>
      <c r="K93" s="4">
        <v>12</v>
      </c>
      <c r="L93" s="4"/>
      <c r="M93" s="4"/>
    </row>
    <row r="94" spans="6:13" ht="13.5" customHeight="1" x14ac:dyDescent="0.25">
      <c r="F94" s="6"/>
      <c r="G94" s="6"/>
      <c r="I94" s="120"/>
      <c r="J94" s="120"/>
      <c r="K94" s="4">
        <v>13</v>
      </c>
      <c r="L94" s="4"/>
      <c r="M94" s="4"/>
    </row>
    <row r="95" spans="6:13" ht="13.5" customHeight="1" x14ac:dyDescent="0.25">
      <c r="F95" s="125"/>
      <c r="G95" s="131"/>
      <c r="I95" s="120"/>
      <c r="J95" s="120"/>
      <c r="K95" s="4">
        <v>14</v>
      </c>
      <c r="L95" s="4"/>
      <c r="M95" s="4"/>
    </row>
    <row r="96" spans="6:13" ht="13.5" customHeight="1" x14ac:dyDescent="0.25">
      <c r="F96" s="125"/>
      <c r="G96" s="131"/>
      <c r="I96" s="120"/>
      <c r="J96" s="120"/>
      <c r="K96" s="4">
        <v>15</v>
      </c>
      <c r="L96" s="4"/>
      <c r="M96" s="4"/>
    </row>
    <row r="97" spans="6:13" ht="13.5" customHeight="1" x14ac:dyDescent="0.25">
      <c r="F97" s="125"/>
      <c r="G97" s="131"/>
      <c r="I97" s="120"/>
      <c r="J97" s="120"/>
      <c r="K97" s="4">
        <v>16</v>
      </c>
      <c r="L97" s="4"/>
      <c r="M97" s="4"/>
    </row>
    <row r="98" spans="6:13" ht="13.5" customHeight="1" x14ac:dyDescent="0.25">
      <c r="F98" s="125"/>
      <c r="G98" s="131"/>
      <c r="I98" s="120"/>
      <c r="J98" s="120"/>
      <c r="K98" s="4" t="s">
        <v>79</v>
      </c>
      <c r="L98" s="4"/>
      <c r="M98" s="4"/>
    </row>
    <row r="99" spans="6:13" ht="13.5" customHeight="1" x14ac:dyDescent="0.25">
      <c r="F99" s="124"/>
      <c r="G99" s="120"/>
      <c r="I99" s="120"/>
      <c r="J99" s="120"/>
      <c r="K99" s="4" t="s">
        <v>80</v>
      </c>
    </row>
    <row r="100" spans="6:13" ht="13.5" customHeight="1" x14ac:dyDescent="0.25">
      <c r="F100" s="125"/>
      <c r="G100" s="120"/>
      <c r="I100" s="120"/>
      <c r="J100" s="120"/>
      <c r="K100" s="4" t="s">
        <v>81</v>
      </c>
    </row>
    <row r="101" spans="6:13" ht="13.5" customHeight="1" x14ac:dyDescent="0.25">
      <c r="F101" s="114"/>
      <c r="G101" s="6"/>
      <c r="I101" s="120"/>
      <c r="J101" s="120"/>
    </row>
    <row r="102" spans="6:13" ht="13.5" customHeight="1" x14ac:dyDescent="0.25">
      <c r="F102" s="6"/>
      <c r="G102" s="6"/>
      <c r="I102" s="120"/>
      <c r="J102" s="120"/>
    </row>
    <row r="103" spans="6:13" ht="13.5" customHeight="1" x14ac:dyDescent="0.25">
      <c r="F103" s="6"/>
      <c r="G103" s="6"/>
      <c r="I103" s="120"/>
      <c r="J103" s="120"/>
    </row>
    <row r="104" spans="6:13" ht="13.5" customHeight="1" x14ac:dyDescent="0.25">
      <c r="F104" s="6"/>
      <c r="G104" s="6"/>
    </row>
    <row r="105" spans="6:13" ht="13.5" customHeight="1" x14ac:dyDescent="0.25">
      <c r="F105" s="6"/>
      <c r="G105" s="6"/>
    </row>
    <row r="116" spans="6:7" ht="13.5" customHeight="1" x14ac:dyDescent="0.25">
      <c r="F116" s="6"/>
      <c r="G116" s="6"/>
    </row>
    <row r="117" spans="6:7" ht="13.5" customHeight="1" x14ac:dyDescent="0.25">
      <c r="F117" s="6"/>
      <c r="G117" s="6"/>
    </row>
    <row r="118" spans="6:7" ht="13.5" customHeight="1" x14ac:dyDescent="0.25">
      <c r="F118" s="6"/>
      <c r="G118" s="6"/>
    </row>
    <row r="119" spans="6:7" ht="13.5" customHeight="1" x14ac:dyDescent="0.25">
      <c r="F119" s="6"/>
      <c r="G119" s="6"/>
    </row>
    <row r="120" spans="6:7" ht="13.5" customHeight="1" x14ac:dyDescent="0.25">
      <c r="F120" s="6"/>
      <c r="G120" s="6"/>
    </row>
    <row r="121" spans="6:7" ht="13.5" customHeight="1" x14ac:dyDescent="0.25">
      <c r="F121" s="6"/>
      <c r="G121" s="6"/>
    </row>
    <row r="122" spans="6:7" ht="13.5" customHeight="1" x14ac:dyDescent="0.25">
      <c r="F122" s="6"/>
      <c r="G122" s="6"/>
    </row>
    <row r="123" spans="6:7" ht="13.5" customHeight="1" x14ac:dyDescent="0.25">
      <c r="F123" s="6"/>
      <c r="G123" s="6"/>
    </row>
    <row r="124" spans="6:7" ht="13.5" customHeight="1" x14ac:dyDescent="0.25">
      <c r="F124" s="6"/>
      <c r="G124" s="6"/>
    </row>
    <row r="125" spans="6:7" ht="13.5" customHeight="1" x14ac:dyDescent="0.25">
      <c r="F125" s="6"/>
      <c r="G125" s="6"/>
    </row>
    <row r="126" spans="6:7" ht="13.5" customHeight="1" x14ac:dyDescent="0.25">
      <c r="F126" s="6"/>
      <c r="G126" s="6"/>
    </row>
    <row r="127" spans="6:7" ht="13.5" customHeight="1" x14ac:dyDescent="0.25">
      <c r="F127" s="6"/>
      <c r="G127" s="6"/>
    </row>
    <row r="128" spans="6:7" ht="13.5" customHeight="1" x14ac:dyDescent="0.25">
      <c r="F128" s="6"/>
      <c r="G128" s="6"/>
    </row>
    <row r="129" spans="6:7" ht="13.5" customHeight="1" x14ac:dyDescent="0.25">
      <c r="F129" s="6"/>
      <c r="G129" s="6"/>
    </row>
    <row r="130" spans="6:7" ht="13.5" customHeight="1" x14ac:dyDescent="0.25">
      <c r="F130" s="6"/>
      <c r="G130" s="6"/>
    </row>
    <row r="131" spans="6:7" ht="13.5" customHeight="1" x14ac:dyDescent="0.25">
      <c r="F131" s="6"/>
      <c r="G131" s="6"/>
    </row>
    <row r="132" spans="6:7" ht="13.5" customHeight="1" x14ac:dyDescent="0.25">
      <c r="F132" s="6"/>
      <c r="G132" s="6"/>
    </row>
    <row r="133" spans="6:7" ht="13.5" customHeight="1" x14ac:dyDescent="0.25">
      <c r="F133" s="6"/>
      <c r="G133" s="6"/>
    </row>
    <row r="134" spans="6:7" ht="13.5" customHeight="1" x14ac:dyDescent="0.25">
      <c r="F134" s="6"/>
      <c r="G134" s="6"/>
    </row>
    <row r="135" spans="6:7" ht="13.5" customHeight="1" x14ac:dyDescent="0.25">
      <c r="F135" s="6"/>
      <c r="G135" s="6"/>
    </row>
  </sheetData>
  <sheetProtection algorithmName="SHA-512" hashValue="j5wogpoNYU8u2C9UzpAHC2RCQPOn0P2jDQyCJWMlw9mlYxMSb8BW556U/oe8oW/1LCVZYaMzxQ6aS3PoChQ2XA==" saltValue="5hEw29ulmZkOC4B7HRwE8A==" spinCount="100000" sheet="1" objects="1" scenarios="1"/>
  <mergeCells count="1">
    <mergeCell ref="F10:G10"/>
  </mergeCells>
  <phoneticPr fontId="0" type="noConversion"/>
  <dataValidations count="2">
    <dataValidation type="list" allowBlank="1" showInputMessage="1" showErrorMessage="1" sqref="F20:F22">
      <formula1>"ja, nee"</formula1>
    </dataValidation>
    <dataValidation type="list" allowBlank="1" showInputMessage="1" showErrorMessage="1" sqref="F13">
      <formula1>$K$55:$K$100</formula1>
    </dataValidation>
  </dataValidations>
  <hyperlinks>
    <hyperlink ref="I51"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V164"/>
  <sheetViews>
    <sheetView topLeftCell="A25" zoomScale="70" zoomScaleNormal="70" workbookViewId="0">
      <selection activeCell="C3" sqref="C3"/>
    </sheetView>
  </sheetViews>
  <sheetFormatPr defaultRowHeight="12.75" x14ac:dyDescent="0.2"/>
  <cols>
    <col min="1" max="1" width="30.85546875" style="47" customWidth="1"/>
    <col min="2" max="2" width="11.7109375" style="47" customWidth="1"/>
    <col min="3" max="4" width="10.7109375" style="47" customWidth="1"/>
    <col min="5" max="5" width="12" style="47" customWidth="1"/>
    <col min="6" max="22" width="10.7109375" style="47" customWidth="1"/>
    <col min="23" max="16384" width="9.140625" style="47"/>
  </cols>
  <sheetData>
    <row r="2" spans="1:22" x14ac:dyDescent="0.2">
      <c r="A2" s="47" t="s">
        <v>234</v>
      </c>
      <c r="B2" s="369">
        <v>2020</v>
      </c>
      <c r="C2" s="431" t="s">
        <v>373</v>
      </c>
    </row>
    <row r="3" spans="1:22" x14ac:dyDescent="0.2">
      <c r="A3" s="47" t="s">
        <v>235</v>
      </c>
      <c r="B3" s="418" t="s">
        <v>342</v>
      </c>
      <c r="C3" s="436" t="s">
        <v>275</v>
      </c>
    </row>
    <row r="4" spans="1:22" x14ac:dyDescent="0.2">
      <c r="C4" s="436" t="s">
        <v>275</v>
      </c>
    </row>
    <row r="5" spans="1:22" x14ac:dyDescent="0.2">
      <c r="A5" s="482" t="s">
        <v>0</v>
      </c>
      <c r="B5" s="541">
        <v>43466</v>
      </c>
      <c r="C5" s="541"/>
      <c r="D5" s="483"/>
      <c r="E5" s="484"/>
      <c r="F5" s="484"/>
      <c r="G5" s="484"/>
      <c r="H5" s="484"/>
      <c r="I5" s="484"/>
      <c r="J5" s="484"/>
      <c r="K5" s="484"/>
      <c r="L5" s="484"/>
      <c r="M5" s="484"/>
      <c r="N5" s="484"/>
      <c r="O5" s="484"/>
      <c r="P5" s="484"/>
      <c r="Q5" s="484"/>
      <c r="R5" s="484"/>
      <c r="S5" s="484"/>
      <c r="T5" s="484"/>
      <c r="U5" s="484"/>
      <c r="V5" s="484"/>
    </row>
    <row r="6" spans="1:22" x14ac:dyDescent="0.2">
      <c r="A6" s="483" t="s">
        <v>1</v>
      </c>
      <c r="B6" s="485">
        <v>1</v>
      </c>
      <c r="C6" s="485">
        <v>2</v>
      </c>
      <c r="D6" s="485">
        <v>3</v>
      </c>
      <c r="E6" s="485">
        <v>4</v>
      </c>
      <c r="F6" s="485">
        <v>5</v>
      </c>
      <c r="G6" s="485">
        <v>6</v>
      </c>
      <c r="H6" s="485">
        <v>7</v>
      </c>
      <c r="I6" s="485">
        <v>8</v>
      </c>
      <c r="J6" s="485">
        <v>9</v>
      </c>
      <c r="K6" s="485">
        <v>10</v>
      </c>
      <c r="L6" s="485">
        <v>11</v>
      </c>
      <c r="M6" s="485">
        <v>12</v>
      </c>
      <c r="N6" s="485">
        <v>13</v>
      </c>
      <c r="O6" s="485">
        <v>14</v>
      </c>
      <c r="P6" s="485">
        <v>15</v>
      </c>
      <c r="Q6" s="485">
        <v>16</v>
      </c>
      <c r="R6" s="485">
        <v>17</v>
      </c>
      <c r="S6" s="485">
        <v>18</v>
      </c>
      <c r="T6" s="485">
        <v>19</v>
      </c>
      <c r="U6" s="485">
        <v>20</v>
      </c>
      <c r="V6" s="485" t="s">
        <v>22</v>
      </c>
    </row>
    <row r="7" spans="1:22" x14ac:dyDescent="0.2">
      <c r="A7" s="486" t="s">
        <v>10</v>
      </c>
      <c r="B7" s="408">
        <v>2648</v>
      </c>
      <c r="C7" s="408">
        <v>2766</v>
      </c>
      <c r="D7" s="408">
        <v>2895</v>
      </c>
      <c r="E7" s="408">
        <v>3036</v>
      </c>
      <c r="F7" s="408">
        <v>3157</v>
      </c>
      <c r="G7" s="408">
        <v>3282</v>
      </c>
      <c r="H7" s="408">
        <v>3397</v>
      </c>
      <c r="I7" s="408">
        <v>3514</v>
      </c>
      <c r="J7" s="408">
        <v>3639</v>
      </c>
      <c r="K7" s="408">
        <v>3755</v>
      </c>
      <c r="L7" s="408">
        <v>3867</v>
      </c>
      <c r="M7" s="408">
        <v>3982</v>
      </c>
      <c r="N7" s="408">
        <v>4176</v>
      </c>
      <c r="O7" s="408"/>
      <c r="P7" s="408"/>
      <c r="Q7" s="408"/>
      <c r="R7" s="408"/>
      <c r="S7" s="408"/>
      <c r="T7" s="408"/>
      <c r="U7" s="408"/>
      <c r="V7" s="487">
        <f t="shared" ref="V7:V16" si="0">COUNTA(B7:U7)</f>
        <v>13</v>
      </c>
    </row>
    <row r="8" spans="1:22" x14ac:dyDescent="0.2">
      <c r="A8" s="486" t="s">
        <v>11</v>
      </c>
      <c r="B8" s="408">
        <v>2704</v>
      </c>
      <c r="C8" s="408">
        <v>2835</v>
      </c>
      <c r="D8" s="408">
        <v>2973</v>
      </c>
      <c r="E8" s="408">
        <v>3098</v>
      </c>
      <c r="F8" s="408">
        <v>3220</v>
      </c>
      <c r="G8" s="408">
        <v>3338</v>
      </c>
      <c r="H8" s="408">
        <v>3453</v>
      </c>
      <c r="I8" s="408">
        <v>3580</v>
      </c>
      <c r="J8" s="408">
        <v>3694</v>
      </c>
      <c r="K8" s="408">
        <v>3808</v>
      </c>
      <c r="L8" s="408">
        <v>3923</v>
      </c>
      <c r="M8" s="408">
        <v>4048</v>
      </c>
      <c r="N8" s="408">
        <v>4176</v>
      </c>
      <c r="O8" s="408">
        <v>4297</v>
      </c>
      <c r="P8" s="408">
        <v>4416</v>
      </c>
      <c r="Q8" s="408">
        <v>4533</v>
      </c>
      <c r="R8" s="408">
        <v>4649</v>
      </c>
      <c r="S8" s="408">
        <v>4709</v>
      </c>
      <c r="T8" s="408"/>
      <c r="U8" s="408"/>
      <c r="V8" s="487">
        <f t="shared" si="0"/>
        <v>18</v>
      </c>
    </row>
    <row r="9" spans="1:22" x14ac:dyDescent="0.2">
      <c r="A9" s="486" t="s">
        <v>12</v>
      </c>
      <c r="B9" s="408">
        <v>2835</v>
      </c>
      <c r="C9" s="408">
        <v>2973</v>
      </c>
      <c r="D9" s="408">
        <v>3220</v>
      </c>
      <c r="E9" s="408">
        <v>3453</v>
      </c>
      <c r="F9" s="408">
        <v>3580</v>
      </c>
      <c r="G9" s="408">
        <v>3694</v>
      </c>
      <c r="H9" s="408">
        <v>3808</v>
      </c>
      <c r="I9" s="408">
        <v>3923</v>
      </c>
      <c r="J9" s="408">
        <v>4048</v>
      </c>
      <c r="K9" s="408">
        <v>4176</v>
      </c>
      <c r="L9" s="408">
        <v>4297</v>
      </c>
      <c r="M9" s="408">
        <v>4416</v>
      </c>
      <c r="N9" s="408">
        <v>4533</v>
      </c>
      <c r="O9" s="408">
        <v>4649</v>
      </c>
      <c r="P9" s="408">
        <v>4770</v>
      </c>
      <c r="Q9" s="408">
        <v>4890</v>
      </c>
      <c r="R9" s="408">
        <v>5003</v>
      </c>
      <c r="S9" s="408">
        <v>5123</v>
      </c>
      <c r="T9" s="408">
        <v>5272</v>
      </c>
      <c r="U9" s="408">
        <v>5345</v>
      </c>
      <c r="V9" s="487">
        <f t="shared" si="0"/>
        <v>20</v>
      </c>
    </row>
    <row r="10" spans="1:22" x14ac:dyDescent="0.2">
      <c r="A10" s="486" t="s">
        <v>13</v>
      </c>
      <c r="B10" s="408">
        <v>2973</v>
      </c>
      <c r="C10" s="408">
        <v>3220</v>
      </c>
      <c r="D10" s="408">
        <v>3453</v>
      </c>
      <c r="E10" s="408">
        <v>3694</v>
      </c>
      <c r="F10" s="408">
        <v>3923</v>
      </c>
      <c r="G10" s="408">
        <v>4176</v>
      </c>
      <c r="H10" s="408">
        <v>4297</v>
      </c>
      <c r="I10" s="408">
        <v>4416</v>
      </c>
      <c r="J10" s="408">
        <v>4533</v>
      </c>
      <c r="K10" s="408">
        <v>4649</v>
      </c>
      <c r="L10" s="408">
        <v>4770</v>
      </c>
      <c r="M10" s="408">
        <v>4890</v>
      </c>
      <c r="N10" s="408">
        <v>5003</v>
      </c>
      <c r="O10" s="408">
        <v>5123</v>
      </c>
      <c r="P10" s="408">
        <v>5272</v>
      </c>
      <c r="Q10" s="408">
        <v>5420</v>
      </c>
      <c r="R10" s="408">
        <v>5569</v>
      </c>
      <c r="S10" s="408">
        <v>5718</v>
      </c>
      <c r="T10" s="408">
        <v>5789</v>
      </c>
      <c r="U10" s="408"/>
      <c r="V10" s="487">
        <f t="shared" si="0"/>
        <v>19</v>
      </c>
    </row>
    <row r="11" spans="1:22" x14ac:dyDescent="0.2">
      <c r="A11" s="486" t="s">
        <v>2</v>
      </c>
      <c r="B11" s="408">
        <v>2888</v>
      </c>
      <c r="C11" s="408">
        <v>2999</v>
      </c>
      <c r="D11" s="408">
        <v>3113</v>
      </c>
      <c r="E11" s="408">
        <v>3223</v>
      </c>
      <c r="F11" s="408">
        <v>3334</v>
      </c>
      <c r="G11" s="408">
        <v>3447</v>
      </c>
      <c r="H11" s="408">
        <v>3559</v>
      </c>
      <c r="I11" s="408">
        <v>3671</v>
      </c>
      <c r="J11" s="408">
        <v>3781</v>
      </c>
      <c r="K11" s="408">
        <v>3893</v>
      </c>
      <c r="L11" s="408">
        <v>4007</v>
      </c>
      <c r="M11" s="408">
        <v>4118</v>
      </c>
      <c r="N11" s="408">
        <v>4231</v>
      </c>
      <c r="O11" s="408"/>
      <c r="P11" s="408"/>
      <c r="Q11" s="408"/>
      <c r="R11" s="408"/>
      <c r="S11" s="408"/>
      <c r="T11" s="445"/>
      <c r="U11" s="445"/>
      <c r="V11" s="487">
        <f t="shared" si="0"/>
        <v>13</v>
      </c>
    </row>
    <row r="12" spans="1:22" x14ac:dyDescent="0.2">
      <c r="A12" s="486" t="s">
        <v>3</v>
      </c>
      <c r="B12" s="408">
        <v>2999</v>
      </c>
      <c r="C12" s="408">
        <v>3223</v>
      </c>
      <c r="D12" s="408">
        <v>3447</v>
      </c>
      <c r="E12" s="408">
        <v>3559</v>
      </c>
      <c r="F12" s="408">
        <v>3671</v>
      </c>
      <c r="G12" s="408">
        <v>3781</v>
      </c>
      <c r="H12" s="408">
        <v>3893</v>
      </c>
      <c r="I12" s="408">
        <v>4007</v>
      </c>
      <c r="J12" s="408">
        <v>4118</v>
      </c>
      <c r="K12" s="408">
        <v>4231</v>
      </c>
      <c r="L12" s="408">
        <v>4344</v>
      </c>
      <c r="M12" s="408">
        <v>4454</v>
      </c>
      <c r="N12" s="408">
        <v>4566</v>
      </c>
      <c r="O12" s="408">
        <v>4676</v>
      </c>
      <c r="P12" s="408">
        <v>4791</v>
      </c>
      <c r="Q12" s="408"/>
      <c r="R12" s="408"/>
      <c r="S12" s="408"/>
      <c r="T12" s="445"/>
      <c r="U12" s="445"/>
      <c r="V12" s="487">
        <f t="shared" si="0"/>
        <v>15</v>
      </c>
    </row>
    <row r="13" spans="1:22" x14ac:dyDescent="0.2">
      <c r="A13" s="486" t="s">
        <v>4</v>
      </c>
      <c r="B13" s="408">
        <v>2999</v>
      </c>
      <c r="C13" s="408">
        <v>3223</v>
      </c>
      <c r="D13" s="408">
        <v>3447</v>
      </c>
      <c r="E13" s="408">
        <v>3559</v>
      </c>
      <c r="F13" s="408">
        <v>3671</v>
      </c>
      <c r="G13" s="408">
        <v>3781</v>
      </c>
      <c r="H13" s="408">
        <v>3893</v>
      </c>
      <c r="I13" s="408">
        <v>4007</v>
      </c>
      <c r="J13" s="408">
        <v>4118</v>
      </c>
      <c r="K13" s="408">
        <v>4231</v>
      </c>
      <c r="L13" s="408">
        <v>4344</v>
      </c>
      <c r="M13" s="408">
        <v>4454</v>
      </c>
      <c r="N13" s="408">
        <v>4566</v>
      </c>
      <c r="O13" s="408">
        <v>4676</v>
      </c>
      <c r="P13" s="408">
        <v>4791</v>
      </c>
      <c r="Q13" s="408">
        <v>4902</v>
      </c>
      <c r="R13" s="408">
        <v>5014</v>
      </c>
      <c r="S13" s="408"/>
      <c r="T13" s="445"/>
      <c r="U13" s="445"/>
      <c r="V13" s="487">
        <f t="shared" si="0"/>
        <v>17</v>
      </c>
    </row>
    <row r="14" spans="1:22" x14ac:dyDescent="0.2">
      <c r="A14" s="486" t="s">
        <v>5</v>
      </c>
      <c r="B14" s="408">
        <v>3113</v>
      </c>
      <c r="C14" s="408">
        <v>3447</v>
      </c>
      <c r="D14" s="408">
        <v>3671</v>
      </c>
      <c r="E14" s="408">
        <v>3893</v>
      </c>
      <c r="F14" s="408">
        <v>4118</v>
      </c>
      <c r="G14" s="408">
        <v>4231</v>
      </c>
      <c r="H14" s="408">
        <v>4344</v>
      </c>
      <c r="I14" s="408">
        <v>4454</v>
      </c>
      <c r="J14" s="408">
        <v>4566</v>
      </c>
      <c r="K14" s="408">
        <v>4676</v>
      </c>
      <c r="L14" s="408">
        <v>4791</v>
      </c>
      <c r="M14" s="408">
        <v>4902</v>
      </c>
      <c r="N14" s="408">
        <v>5014</v>
      </c>
      <c r="O14" s="408">
        <v>5124</v>
      </c>
      <c r="P14" s="408">
        <v>5236</v>
      </c>
      <c r="Q14" s="408">
        <v>5350</v>
      </c>
      <c r="R14" s="408"/>
      <c r="S14" s="408"/>
      <c r="T14" s="445"/>
      <c r="U14" s="445"/>
      <c r="V14" s="487">
        <f t="shared" si="0"/>
        <v>16</v>
      </c>
    </row>
    <row r="15" spans="1:22" x14ac:dyDescent="0.2">
      <c r="A15" s="486" t="s">
        <v>6</v>
      </c>
      <c r="B15" s="408">
        <v>3113</v>
      </c>
      <c r="C15" s="408">
        <v>3447</v>
      </c>
      <c r="D15" s="408">
        <v>3671</v>
      </c>
      <c r="E15" s="408">
        <v>3893</v>
      </c>
      <c r="F15" s="408">
        <v>4118</v>
      </c>
      <c r="G15" s="408">
        <v>4231</v>
      </c>
      <c r="H15" s="408">
        <v>4344</v>
      </c>
      <c r="I15" s="408">
        <v>4454</v>
      </c>
      <c r="J15" s="408">
        <v>4566</v>
      </c>
      <c r="K15" s="408">
        <v>4676</v>
      </c>
      <c r="L15" s="408">
        <v>4791</v>
      </c>
      <c r="M15" s="408">
        <v>4902</v>
      </c>
      <c r="N15" s="408">
        <v>5014</v>
      </c>
      <c r="O15" s="408">
        <v>5124</v>
      </c>
      <c r="P15" s="408">
        <v>5236</v>
      </c>
      <c r="Q15" s="408">
        <v>5350</v>
      </c>
      <c r="R15" s="408">
        <v>5461</v>
      </c>
      <c r="S15" s="408">
        <v>5572</v>
      </c>
      <c r="T15" s="445"/>
      <c r="U15" s="445"/>
      <c r="V15" s="487">
        <f t="shared" si="0"/>
        <v>18</v>
      </c>
    </row>
    <row r="16" spans="1:22" x14ac:dyDescent="0.2">
      <c r="A16" s="486" t="s">
        <v>7</v>
      </c>
      <c r="B16" s="408">
        <v>3160</v>
      </c>
      <c r="C16" s="408">
        <v>3392</v>
      </c>
      <c r="D16" s="408">
        <v>3630</v>
      </c>
      <c r="E16" s="408">
        <v>3857</v>
      </c>
      <c r="F16" s="408">
        <v>4109</v>
      </c>
      <c r="G16" s="408">
        <v>4231</v>
      </c>
      <c r="H16" s="408">
        <v>4348</v>
      </c>
      <c r="I16" s="408">
        <v>4467</v>
      </c>
      <c r="J16" s="408">
        <v>4580</v>
      </c>
      <c r="K16" s="408">
        <v>4702</v>
      </c>
      <c r="L16" s="408">
        <v>4820</v>
      </c>
      <c r="M16" s="408">
        <v>4934</v>
      </c>
      <c r="N16" s="408">
        <v>5052</v>
      </c>
      <c r="O16" s="408">
        <v>5200</v>
      </c>
      <c r="P16" s="408">
        <v>5349</v>
      </c>
      <c r="Q16" s="408">
        <v>5496</v>
      </c>
      <c r="R16" s="408">
        <v>5644</v>
      </c>
      <c r="S16" s="408">
        <v>5715</v>
      </c>
      <c r="T16" s="445"/>
      <c r="U16" s="445"/>
      <c r="V16" s="487">
        <f t="shared" si="0"/>
        <v>18</v>
      </c>
    </row>
    <row r="17" spans="1:22" x14ac:dyDescent="0.2">
      <c r="A17" s="486" t="s">
        <v>8</v>
      </c>
      <c r="B17" s="408">
        <v>3276</v>
      </c>
      <c r="C17" s="408">
        <v>3517</v>
      </c>
      <c r="D17" s="408">
        <v>3744</v>
      </c>
      <c r="E17" s="408">
        <v>3983</v>
      </c>
      <c r="F17" s="408">
        <v>4231</v>
      </c>
      <c r="G17" s="408">
        <v>4467</v>
      </c>
      <c r="H17" s="408">
        <v>4702</v>
      </c>
      <c r="I17" s="408">
        <v>4820</v>
      </c>
      <c r="J17" s="408">
        <v>4934</v>
      </c>
      <c r="K17" s="408">
        <v>5052</v>
      </c>
      <c r="L17" s="408">
        <v>5200</v>
      </c>
      <c r="M17" s="408">
        <v>5349</v>
      </c>
      <c r="N17" s="408">
        <v>5496</v>
      </c>
      <c r="O17" s="408">
        <v>5644</v>
      </c>
      <c r="P17" s="408">
        <v>5794</v>
      </c>
      <c r="Q17" s="408">
        <v>5951</v>
      </c>
      <c r="R17" s="408">
        <v>6111</v>
      </c>
      <c r="S17" s="408">
        <v>6276</v>
      </c>
      <c r="T17" s="445"/>
      <c r="U17" s="445"/>
      <c r="V17" s="487">
        <f>COUNTA(B17:U17)</f>
        <v>18</v>
      </c>
    </row>
    <row r="18" spans="1:22" x14ac:dyDescent="0.2">
      <c r="A18" s="421" t="s">
        <v>79</v>
      </c>
      <c r="B18" s="445">
        <v>1635.6</v>
      </c>
      <c r="C18" s="445">
        <v>1635.6</v>
      </c>
      <c r="D18" s="445">
        <v>1677</v>
      </c>
      <c r="E18" s="445">
        <v>1707</v>
      </c>
      <c r="F18" s="445">
        <v>1742</v>
      </c>
      <c r="G18" s="445">
        <v>1778</v>
      </c>
      <c r="H18" s="445">
        <v>1825</v>
      </c>
      <c r="I18" s="445"/>
      <c r="J18" s="488"/>
      <c r="K18" s="488"/>
      <c r="L18" s="488"/>
      <c r="M18" s="488"/>
      <c r="N18" s="488"/>
      <c r="O18" s="488"/>
      <c r="P18" s="488"/>
      <c r="Q18" s="488"/>
      <c r="R18" s="488"/>
      <c r="S18" s="488"/>
      <c r="T18" s="488"/>
      <c r="U18" s="445"/>
      <c r="V18" s="487">
        <f t="shared" ref="V18:V48" si="1">COUNTA(B18:U18)</f>
        <v>7</v>
      </c>
    </row>
    <row r="19" spans="1:22" x14ac:dyDescent="0.2">
      <c r="A19" s="484" t="s">
        <v>80</v>
      </c>
      <c r="B19" s="445">
        <v>1635.6</v>
      </c>
      <c r="C19" s="445">
        <v>1644</v>
      </c>
      <c r="D19" s="445">
        <v>1707</v>
      </c>
      <c r="E19" s="445">
        <v>1778</v>
      </c>
      <c r="F19" s="445">
        <v>1825</v>
      </c>
      <c r="G19" s="445">
        <v>1878</v>
      </c>
      <c r="H19" s="445">
        <v>1944</v>
      </c>
      <c r="I19" s="445">
        <v>2006</v>
      </c>
      <c r="J19" s="488"/>
      <c r="K19" s="488"/>
      <c r="L19" s="488"/>
      <c r="M19" s="488"/>
      <c r="N19" s="488"/>
      <c r="O19" s="488"/>
      <c r="P19" s="488"/>
      <c r="Q19" s="488"/>
      <c r="R19" s="488"/>
      <c r="S19" s="488"/>
      <c r="T19" s="488"/>
      <c r="U19" s="445"/>
      <c r="V19" s="487">
        <f t="shared" si="1"/>
        <v>8</v>
      </c>
    </row>
    <row r="20" spans="1:22" x14ac:dyDescent="0.2">
      <c r="A20" s="484" t="s">
        <v>81</v>
      </c>
      <c r="B20" s="445">
        <v>1635.6</v>
      </c>
      <c r="C20" s="445">
        <v>1707</v>
      </c>
      <c r="D20" s="445">
        <v>1778</v>
      </c>
      <c r="E20" s="445">
        <v>1878</v>
      </c>
      <c r="F20" s="445">
        <v>1944</v>
      </c>
      <c r="G20" s="445">
        <v>2006</v>
      </c>
      <c r="H20" s="445">
        <v>2067</v>
      </c>
      <c r="I20" s="445"/>
      <c r="J20" s="488"/>
      <c r="K20" s="488"/>
      <c r="L20" s="488"/>
      <c r="M20" s="488"/>
      <c r="N20" s="488"/>
      <c r="O20" s="488"/>
      <c r="P20" s="488"/>
      <c r="Q20" s="488"/>
      <c r="R20" s="488"/>
      <c r="S20" s="488"/>
      <c r="T20" s="488"/>
      <c r="U20" s="445"/>
      <c r="V20" s="487">
        <f t="shared" si="1"/>
        <v>7</v>
      </c>
    </row>
    <row r="21" spans="1:22" x14ac:dyDescent="0.2">
      <c r="A21" s="486" t="s">
        <v>327</v>
      </c>
      <c r="B21" s="408">
        <v>2563</v>
      </c>
      <c r="C21" s="408">
        <v>2640</v>
      </c>
      <c r="D21" s="408">
        <v>2719</v>
      </c>
      <c r="E21" s="408">
        <v>2802</v>
      </c>
      <c r="F21" s="408">
        <v>2886</v>
      </c>
      <c r="G21" s="408">
        <v>2974</v>
      </c>
      <c r="H21" s="408">
        <v>3064</v>
      </c>
      <c r="I21" s="408">
        <v>3156</v>
      </c>
      <c r="J21" s="408">
        <v>3251</v>
      </c>
      <c r="K21" s="408">
        <v>3350</v>
      </c>
      <c r="L21" s="408">
        <v>3451</v>
      </c>
      <c r="M21" s="408">
        <v>3555</v>
      </c>
      <c r="N21" s="408">
        <v>3662</v>
      </c>
      <c r="O21" s="408">
        <v>3773</v>
      </c>
      <c r="P21" s="408">
        <v>3910</v>
      </c>
      <c r="Q21" s="488"/>
      <c r="R21" s="488"/>
      <c r="S21" s="488"/>
      <c r="T21" s="488"/>
      <c r="U21" s="445"/>
      <c r="V21" s="487">
        <f t="shared" si="1"/>
        <v>15</v>
      </c>
    </row>
    <row r="22" spans="1:22" x14ac:dyDescent="0.2">
      <c r="A22" s="486" t="s">
        <v>328</v>
      </c>
      <c r="B22" s="408">
        <v>2639</v>
      </c>
      <c r="C22" s="408">
        <v>2729</v>
      </c>
      <c r="D22" s="408">
        <v>2821</v>
      </c>
      <c r="E22" s="408">
        <v>2916</v>
      </c>
      <c r="F22" s="408">
        <v>3015</v>
      </c>
      <c r="G22" s="408">
        <v>3117</v>
      </c>
      <c r="H22" s="408">
        <v>3222</v>
      </c>
      <c r="I22" s="408">
        <v>3331</v>
      </c>
      <c r="J22" s="408">
        <v>3443</v>
      </c>
      <c r="K22" s="408">
        <v>3560</v>
      </c>
      <c r="L22" s="408">
        <v>3680</v>
      </c>
      <c r="M22" s="408">
        <v>3805</v>
      </c>
      <c r="N22" s="408">
        <v>3933</v>
      </c>
      <c r="O22" s="408">
        <v>4066</v>
      </c>
      <c r="P22" s="408">
        <v>4228</v>
      </c>
      <c r="Q22" s="488"/>
      <c r="R22" s="488"/>
      <c r="S22" s="488"/>
      <c r="T22" s="488"/>
      <c r="U22" s="445"/>
      <c r="V22" s="487">
        <f t="shared" si="1"/>
        <v>15</v>
      </c>
    </row>
    <row r="23" spans="1:22" x14ac:dyDescent="0.2">
      <c r="A23" s="486" t="s">
        <v>329</v>
      </c>
      <c r="B23" s="408">
        <v>2691</v>
      </c>
      <c r="C23" s="408">
        <v>2806</v>
      </c>
      <c r="D23" s="408">
        <v>2927</v>
      </c>
      <c r="E23" s="408">
        <v>3052</v>
      </c>
      <c r="F23" s="408">
        <v>3184</v>
      </c>
      <c r="G23" s="408">
        <v>3321</v>
      </c>
      <c r="H23" s="408">
        <v>3463</v>
      </c>
      <c r="I23" s="408">
        <v>3613</v>
      </c>
      <c r="J23" s="408">
        <v>3768</v>
      </c>
      <c r="K23" s="408">
        <v>3930</v>
      </c>
      <c r="L23" s="408">
        <v>4099</v>
      </c>
      <c r="M23" s="408">
        <v>4275</v>
      </c>
      <c r="N23" s="408">
        <v>4460</v>
      </c>
      <c r="O23" s="408">
        <v>4651</v>
      </c>
      <c r="P23" s="408">
        <v>4851</v>
      </c>
      <c r="Q23" s="488"/>
      <c r="R23" s="488"/>
      <c r="S23" s="488"/>
      <c r="T23" s="488"/>
      <c r="U23" s="445"/>
      <c r="V23" s="487">
        <f t="shared" si="1"/>
        <v>15</v>
      </c>
    </row>
    <row r="24" spans="1:22" x14ac:dyDescent="0.2">
      <c r="A24" s="486" t="s">
        <v>330</v>
      </c>
      <c r="B24" s="408">
        <v>2691</v>
      </c>
      <c r="C24" s="408">
        <v>2806</v>
      </c>
      <c r="D24" s="408">
        <v>2961</v>
      </c>
      <c r="E24" s="408">
        <v>3124</v>
      </c>
      <c r="F24" s="408">
        <v>3288</v>
      </c>
      <c r="G24" s="408">
        <v>3459</v>
      </c>
      <c r="H24" s="408">
        <v>3637</v>
      </c>
      <c r="I24" s="408">
        <v>3817</v>
      </c>
      <c r="J24" s="408">
        <v>4007</v>
      </c>
      <c r="K24" s="408">
        <v>4204</v>
      </c>
      <c r="L24" s="408">
        <v>4406</v>
      </c>
      <c r="M24" s="408">
        <v>4616</v>
      </c>
      <c r="N24" s="408">
        <v>4833</v>
      </c>
      <c r="O24" s="408">
        <v>5055</v>
      </c>
      <c r="P24" s="408">
        <v>5294</v>
      </c>
      <c r="Q24" s="488"/>
      <c r="R24" s="488"/>
      <c r="S24" s="488"/>
      <c r="T24" s="488"/>
      <c r="U24" s="445"/>
      <c r="V24" s="487">
        <f t="shared" si="1"/>
        <v>15</v>
      </c>
    </row>
    <row r="25" spans="1:22" x14ac:dyDescent="0.2">
      <c r="A25" s="486" t="s">
        <v>331</v>
      </c>
      <c r="B25" s="408">
        <v>3392</v>
      </c>
      <c r="C25" s="408">
        <v>3519</v>
      </c>
      <c r="D25" s="408">
        <v>3633</v>
      </c>
      <c r="E25" s="408">
        <v>3861</v>
      </c>
      <c r="F25" s="408">
        <v>4114</v>
      </c>
      <c r="G25" s="408">
        <v>4273</v>
      </c>
      <c r="H25" s="408">
        <v>4435</v>
      </c>
      <c r="I25" s="408">
        <v>4596</v>
      </c>
      <c r="J25" s="408">
        <v>4758</v>
      </c>
      <c r="K25" s="408">
        <v>4918</v>
      </c>
      <c r="L25" s="408">
        <v>5081</v>
      </c>
      <c r="M25" s="408">
        <v>5243</v>
      </c>
      <c r="N25" s="408">
        <v>5405</v>
      </c>
      <c r="O25" s="408">
        <v>5566</v>
      </c>
      <c r="P25" s="408">
        <v>5732</v>
      </c>
      <c r="Q25" s="488"/>
      <c r="R25" s="488"/>
      <c r="S25" s="488"/>
      <c r="T25" s="488"/>
      <c r="U25" s="445"/>
      <c r="V25" s="487">
        <f t="shared" si="1"/>
        <v>15</v>
      </c>
    </row>
    <row r="26" spans="1:22" x14ac:dyDescent="0.2">
      <c r="A26" s="484" t="s">
        <v>14</v>
      </c>
      <c r="B26" s="445">
        <v>1218</v>
      </c>
      <c r="C26" s="489"/>
      <c r="D26" s="489"/>
      <c r="E26" s="489"/>
      <c r="F26" s="489"/>
      <c r="G26" s="489"/>
      <c r="H26" s="489"/>
      <c r="I26" s="489"/>
      <c r="J26" s="489"/>
      <c r="K26" s="489"/>
      <c r="L26" s="489"/>
      <c r="M26" s="489"/>
      <c r="N26" s="489"/>
      <c r="O26" s="489"/>
      <c r="P26" s="489"/>
      <c r="Q26" s="488"/>
      <c r="R26" s="490"/>
      <c r="S26" s="490"/>
      <c r="T26" s="490"/>
      <c r="U26" s="489"/>
      <c r="V26" s="487">
        <f t="shared" si="1"/>
        <v>1</v>
      </c>
    </row>
    <row r="27" spans="1:22" x14ac:dyDescent="0.2">
      <c r="A27" s="484" t="s">
        <v>15</v>
      </c>
      <c r="B27" s="445">
        <v>1262.5</v>
      </c>
      <c r="C27" s="489"/>
      <c r="D27" s="489"/>
      <c r="E27" s="489"/>
      <c r="F27" s="489"/>
      <c r="G27" s="489"/>
      <c r="H27" s="489"/>
      <c r="I27" s="489"/>
      <c r="J27" s="489"/>
      <c r="K27" s="489"/>
      <c r="L27" s="489"/>
      <c r="M27" s="489"/>
      <c r="N27" s="489"/>
      <c r="O27" s="489"/>
      <c r="P27" s="489"/>
      <c r="Q27" s="488"/>
      <c r="R27" s="490"/>
      <c r="S27" s="490"/>
      <c r="T27" s="490"/>
      <c r="U27" s="489"/>
      <c r="V27" s="487">
        <f t="shared" si="1"/>
        <v>1</v>
      </c>
    </row>
    <row r="28" spans="1:22" x14ac:dyDescent="0.2">
      <c r="A28" s="491" t="s">
        <v>78</v>
      </c>
      <c r="B28" s="408">
        <v>2888</v>
      </c>
      <c r="C28" s="408">
        <v>2999</v>
      </c>
      <c r="D28" s="408">
        <v>3113</v>
      </c>
      <c r="E28" s="408">
        <v>3223</v>
      </c>
      <c r="F28" s="408">
        <v>3334</v>
      </c>
      <c r="G28" s="408">
        <v>3447</v>
      </c>
      <c r="H28" s="408">
        <v>3559</v>
      </c>
      <c r="I28" s="408">
        <v>3671</v>
      </c>
      <c r="J28" s="408">
        <v>3781</v>
      </c>
      <c r="K28" s="408">
        <v>3893</v>
      </c>
      <c r="L28" s="408">
        <v>4007</v>
      </c>
      <c r="M28" s="408"/>
      <c r="N28" s="408"/>
      <c r="O28" s="408"/>
      <c r="P28" s="408"/>
      <c r="Q28" s="488"/>
      <c r="R28" s="488"/>
      <c r="S28" s="488"/>
      <c r="T28" s="488"/>
      <c r="U28" s="445"/>
      <c r="V28" s="487">
        <f t="shared" si="1"/>
        <v>11</v>
      </c>
    </row>
    <row r="29" spans="1:22" x14ac:dyDescent="0.2">
      <c r="A29" s="491" t="s">
        <v>74</v>
      </c>
      <c r="B29" s="408">
        <v>2999</v>
      </c>
      <c r="C29" s="408">
        <v>3223</v>
      </c>
      <c r="D29" s="408">
        <v>3447</v>
      </c>
      <c r="E29" s="408">
        <v>3559</v>
      </c>
      <c r="F29" s="408">
        <v>3671</v>
      </c>
      <c r="G29" s="408">
        <v>3781</v>
      </c>
      <c r="H29" s="408">
        <v>3893</v>
      </c>
      <c r="I29" s="408">
        <v>4007</v>
      </c>
      <c r="J29" s="408">
        <v>4118</v>
      </c>
      <c r="K29" s="408">
        <v>4231</v>
      </c>
      <c r="L29" s="408"/>
      <c r="M29" s="408"/>
      <c r="N29" s="408"/>
      <c r="O29" s="408"/>
      <c r="P29" s="408"/>
      <c r="Q29" s="488"/>
      <c r="R29" s="488"/>
      <c r="S29" s="488"/>
      <c r="T29" s="488"/>
      <c r="U29" s="445"/>
      <c r="V29" s="487">
        <f t="shared" si="1"/>
        <v>10</v>
      </c>
    </row>
    <row r="30" spans="1:22" x14ac:dyDescent="0.2">
      <c r="A30" s="491" t="s">
        <v>75</v>
      </c>
      <c r="B30" s="408">
        <v>2999</v>
      </c>
      <c r="C30" s="408">
        <v>3223</v>
      </c>
      <c r="D30" s="408">
        <v>3447</v>
      </c>
      <c r="E30" s="408">
        <v>3559</v>
      </c>
      <c r="F30" s="408">
        <v>3671</v>
      </c>
      <c r="G30" s="408">
        <v>3781</v>
      </c>
      <c r="H30" s="408">
        <v>3893</v>
      </c>
      <c r="I30" s="408">
        <v>4007</v>
      </c>
      <c r="J30" s="408">
        <v>4118</v>
      </c>
      <c r="K30" s="408">
        <v>4231</v>
      </c>
      <c r="L30" s="408">
        <v>4344</v>
      </c>
      <c r="M30" s="408"/>
      <c r="N30" s="408"/>
      <c r="O30" s="408"/>
      <c r="P30" s="408"/>
      <c r="Q30" s="488"/>
      <c r="R30" s="488"/>
      <c r="S30" s="488"/>
      <c r="T30" s="488"/>
      <c r="U30" s="445"/>
      <c r="V30" s="487">
        <f t="shared" si="1"/>
        <v>11</v>
      </c>
    </row>
    <row r="31" spans="1:22" x14ac:dyDescent="0.2">
      <c r="A31" s="491" t="s">
        <v>76</v>
      </c>
      <c r="B31" s="408">
        <v>3113</v>
      </c>
      <c r="C31" s="408">
        <v>3447</v>
      </c>
      <c r="D31" s="408">
        <v>3671</v>
      </c>
      <c r="E31" s="408">
        <v>3893</v>
      </c>
      <c r="F31" s="408">
        <v>4118</v>
      </c>
      <c r="G31" s="408">
        <v>4231</v>
      </c>
      <c r="H31" s="408">
        <v>4344</v>
      </c>
      <c r="I31" s="408">
        <v>4454</v>
      </c>
      <c r="J31" s="408">
        <v>4566</v>
      </c>
      <c r="K31" s="408">
        <v>4676</v>
      </c>
      <c r="L31" s="408">
        <v>4791</v>
      </c>
      <c r="M31" s="408">
        <v>4902</v>
      </c>
      <c r="N31" s="408">
        <v>5014</v>
      </c>
      <c r="O31" s="408"/>
      <c r="P31" s="408"/>
      <c r="Q31" s="488"/>
      <c r="R31" s="488"/>
      <c r="S31" s="488"/>
      <c r="T31" s="488"/>
      <c r="U31" s="445"/>
      <c r="V31" s="487">
        <f t="shared" si="1"/>
        <v>13</v>
      </c>
    </row>
    <row r="32" spans="1:22" x14ac:dyDescent="0.2">
      <c r="A32" s="491" t="s">
        <v>77</v>
      </c>
      <c r="B32" s="408">
        <v>3113</v>
      </c>
      <c r="C32" s="408">
        <v>3447</v>
      </c>
      <c r="D32" s="408">
        <v>3671</v>
      </c>
      <c r="E32" s="408">
        <v>3893</v>
      </c>
      <c r="F32" s="408">
        <v>4118</v>
      </c>
      <c r="G32" s="408">
        <v>4231</v>
      </c>
      <c r="H32" s="408">
        <v>4344</v>
      </c>
      <c r="I32" s="408">
        <v>4454</v>
      </c>
      <c r="J32" s="408">
        <v>4566</v>
      </c>
      <c r="K32" s="408">
        <v>4676</v>
      </c>
      <c r="L32" s="408">
        <v>4791</v>
      </c>
      <c r="M32" s="408">
        <v>4902</v>
      </c>
      <c r="N32" s="408">
        <v>5014</v>
      </c>
      <c r="O32" s="408">
        <v>5124</v>
      </c>
      <c r="P32" s="408">
        <v>5236</v>
      </c>
      <c r="Q32" s="488"/>
      <c r="R32" s="488"/>
      <c r="S32" s="488"/>
      <c r="T32" s="488"/>
      <c r="U32" s="445"/>
      <c r="V32" s="487">
        <f t="shared" si="1"/>
        <v>15</v>
      </c>
    </row>
    <row r="33" spans="1:22" x14ac:dyDescent="0.2">
      <c r="A33" s="484">
        <v>1</v>
      </c>
      <c r="B33" s="445">
        <v>1635.6</v>
      </c>
      <c r="C33" s="445">
        <v>1635.6</v>
      </c>
      <c r="D33" s="408">
        <v>1677</v>
      </c>
      <c r="E33" s="408">
        <v>1707</v>
      </c>
      <c r="F33" s="408">
        <v>1742</v>
      </c>
      <c r="G33" s="408">
        <v>1778</v>
      </c>
      <c r="H33" s="408">
        <v>1825</v>
      </c>
      <c r="I33" s="408"/>
      <c r="J33" s="408"/>
      <c r="K33" s="408"/>
      <c r="L33" s="408"/>
      <c r="M33" s="408"/>
      <c r="N33" s="408"/>
      <c r="O33" s="408"/>
      <c r="P33" s="408"/>
      <c r="Q33" s="408"/>
      <c r="R33" s="408"/>
      <c r="S33" s="408"/>
      <c r="T33" s="488"/>
      <c r="U33" s="445"/>
      <c r="V33" s="487">
        <f t="shared" si="1"/>
        <v>7</v>
      </c>
    </row>
    <row r="34" spans="1:22" x14ac:dyDescent="0.2">
      <c r="A34" s="484">
        <v>2</v>
      </c>
      <c r="B34" s="445">
        <v>1635.6</v>
      </c>
      <c r="C34" s="408">
        <v>1644</v>
      </c>
      <c r="D34" s="408">
        <v>1707</v>
      </c>
      <c r="E34" s="408">
        <v>1778</v>
      </c>
      <c r="F34" s="408">
        <v>1825</v>
      </c>
      <c r="G34" s="408">
        <v>1878</v>
      </c>
      <c r="H34" s="408">
        <v>1944</v>
      </c>
      <c r="I34" s="408">
        <v>2006</v>
      </c>
      <c r="J34" s="408"/>
      <c r="K34" s="408"/>
      <c r="L34" s="408"/>
      <c r="M34" s="408"/>
      <c r="N34" s="408"/>
      <c r="O34" s="408"/>
      <c r="P34" s="408"/>
      <c r="Q34" s="408"/>
      <c r="R34" s="408"/>
      <c r="S34" s="408"/>
      <c r="T34" s="488"/>
      <c r="U34" s="445"/>
      <c r="V34" s="487">
        <f t="shared" si="1"/>
        <v>8</v>
      </c>
    </row>
    <row r="35" spans="1:22" x14ac:dyDescent="0.2">
      <c r="A35" s="484">
        <v>3</v>
      </c>
      <c r="B35" s="445">
        <v>1635.6</v>
      </c>
      <c r="C35" s="408">
        <v>1707</v>
      </c>
      <c r="D35" s="408">
        <v>1778</v>
      </c>
      <c r="E35" s="408">
        <v>1878</v>
      </c>
      <c r="F35" s="408">
        <v>1944</v>
      </c>
      <c r="G35" s="408">
        <v>2006</v>
      </c>
      <c r="H35" s="408">
        <v>2067</v>
      </c>
      <c r="I35" s="408">
        <v>2126</v>
      </c>
      <c r="J35" s="408">
        <v>2185</v>
      </c>
      <c r="K35" s="408"/>
      <c r="L35" s="408"/>
      <c r="M35" s="408"/>
      <c r="N35" s="408"/>
      <c r="O35" s="408"/>
      <c r="P35" s="408"/>
      <c r="Q35" s="408"/>
      <c r="R35" s="408"/>
      <c r="S35" s="408"/>
      <c r="T35" s="488"/>
      <c r="U35" s="445"/>
      <c r="V35" s="487">
        <f t="shared" si="1"/>
        <v>9</v>
      </c>
    </row>
    <row r="36" spans="1:22" ht="16.5" x14ac:dyDescent="0.25">
      <c r="A36" s="484">
        <v>4</v>
      </c>
      <c r="B36" s="445">
        <v>1635.6</v>
      </c>
      <c r="C36" s="408">
        <v>1677</v>
      </c>
      <c r="D36" s="408">
        <v>1742</v>
      </c>
      <c r="E36" s="408">
        <v>1825</v>
      </c>
      <c r="F36" s="408">
        <v>1944</v>
      </c>
      <c r="G36" s="408">
        <v>2006</v>
      </c>
      <c r="H36" s="408">
        <v>2067</v>
      </c>
      <c r="I36" s="408">
        <v>2126</v>
      </c>
      <c r="J36" s="408">
        <v>2185</v>
      </c>
      <c r="K36" s="408">
        <v>2241</v>
      </c>
      <c r="L36" s="408">
        <v>2298</v>
      </c>
      <c r="M36" s="408"/>
      <c r="N36" s="408"/>
      <c r="O36" s="408"/>
      <c r="P36" s="408"/>
      <c r="Q36" s="521"/>
      <c r="R36" s="408"/>
      <c r="S36" s="408"/>
      <c r="T36" s="488"/>
      <c r="U36" s="445"/>
      <c r="V36" s="487">
        <f t="shared" si="1"/>
        <v>11</v>
      </c>
    </row>
    <row r="37" spans="1:22" x14ac:dyDescent="0.2">
      <c r="A37" s="484">
        <v>5</v>
      </c>
      <c r="B37" s="408">
        <v>1644</v>
      </c>
      <c r="C37" s="408">
        <v>1677</v>
      </c>
      <c r="D37" s="408">
        <v>1778</v>
      </c>
      <c r="E37" s="408">
        <v>1878</v>
      </c>
      <c r="F37" s="408">
        <v>2006</v>
      </c>
      <c r="G37" s="408">
        <v>2067</v>
      </c>
      <c r="H37" s="408">
        <v>2126</v>
      </c>
      <c r="I37" s="408">
        <v>2185</v>
      </c>
      <c r="J37" s="408">
        <v>2241</v>
      </c>
      <c r="K37" s="408">
        <v>2298</v>
      </c>
      <c r="L37" s="408">
        <v>2353</v>
      </c>
      <c r="M37" s="408">
        <v>2416</v>
      </c>
      <c r="N37" s="408"/>
      <c r="O37" s="408"/>
      <c r="P37" s="408"/>
      <c r="Q37" s="408"/>
      <c r="R37" s="408"/>
      <c r="S37" s="408"/>
      <c r="T37" s="488"/>
      <c r="U37" s="445"/>
      <c r="V37" s="487">
        <f t="shared" si="1"/>
        <v>12</v>
      </c>
    </row>
    <row r="38" spans="1:22" x14ac:dyDescent="0.2">
      <c r="A38" s="484">
        <v>6</v>
      </c>
      <c r="B38" s="408">
        <v>1707</v>
      </c>
      <c r="C38" s="408">
        <v>1778</v>
      </c>
      <c r="D38" s="408">
        <v>2006</v>
      </c>
      <c r="E38" s="408">
        <v>2126</v>
      </c>
      <c r="F38" s="408">
        <v>2185</v>
      </c>
      <c r="G38" s="408">
        <v>2241</v>
      </c>
      <c r="H38" s="408">
        <v>2298</v>
      </c>
      <c r="I38" s="408">
        <v>2353</v>
      </c>
      <c r="J38" s="408">
        <v>2416</v>
      </c>
      <c r="K38" s="408">
        <v>2475</v>
      </c>
      <c r="L38" s="408">
        <v>2531</v>
      </c>
      <c r="M38" s="408"/>
      <c r="N38" s="408"/>
      <c r="O38" s="408"/>
      <c r="P38" s="408"/>
      <c r="Q38" s="408"/>
      <c r="R38" s="408"/>
      <c r="S38" s="408"/>
      <c r="T38" s="488"/>
      <c r="U38" s="445"/>
      <c r="V38" s="487">
        <f t="shared" si="1"/>
        <v>11</v>
      </c>
    </row>
    <row r="39" spans="1:22" x14ac:dyDescent="0.2">
      <c r="A39" s="484">
        <v>7</v>
      </c>
      <c r="B39" s="408">
        <v>1825</v>
      </c>
      <c r="C39" s="408">
        <v>1878</v>
      </c>
      <c r="D39" s="408">
        <v>2006</v>
      </c>
      <c r="E39" s="408">
        <v>2241</v>
      </c>
      <c r="F39" s="408">
        <v>2353</v>
      </c>
      <c r="G39" s="408">
        <v>2416</v>
      </c>
      <c r="H39" s="408">
        <v>2475</v>
      </c>
      <c r="I39" s="408">
        <v>2531</v>
      </c>
      <c r="J39" s="408">
        <v>2590</v>
      </c>
      <c r="K39" s="408">
        <v>2653</v>
      </c>
      <c r="L39" s="408">
        <v>2719</v>
      </c>
      <c r="M39" s="408">
        <v>2791</v>
      </c>
      <c r="N39" s="408"/>
      <c r="O39" s="408"/>
      <c r="P39" s="408"/>
      <c r="Q39" s="408"/>
      <c r="R39" s="408"/>
      <c r="S39" s="408"/>
      <c r="T39" s="488"/>
      <c r="U39" s="445"/>
      <c r="V39" s="487">
        <f t="shared" si="1"/>
        <v>12</v>
      </c>
    </row>
    <row r="40" spans="1:22" x14ac:dyDescent="0.2">
      <c r="A40" s="484">
        <v>8</v>
      </c>
      <c r="B40" s="408">
        <v>2067</v>
      </c>
      <c r="C40" s="408">
        <v>2126</v>
      </c>
      <c r="D40" s="408">
        <v>2241</v>
      </c>
      <c r="E40" s="408">
        <v>2475</v>
      </c>
      <c r="F40" s="408">
        <v>2590</v>
      </c>
      <c r="G40" s="408">
        <v>2719</v>
      </c>
      <c r="H40" s="408">
        <v>2791</v>
      </c>
      <c r="I40" s="408">
        <v>2857</v>
      </c>
      <c r="J40" s="408">
        <v>2916</v>
      </c>
      <c r="K40" s="408">
        <v>2979</v>
      </c>
      <c r="L40" s="408">
        <v>3043</v>
      </c>
      <c r="M40" s="408">
        <v>3102</v>
      </c>
      <c r="N40" s="408">
        <v>3157</v>
      </c>
      <c r="O40" s="408"/>
      <c r="P40" s="408"/>
      <c r="Q40" s="408"/>
      <c r="R40" s="408"/>
      <c r="S40" s="408"/>
      <c r="T40" s="488"/>
      <c r="U40" s="445"/>
      <c r="V40" s="487">
        <f t="shared" si="1"/>
        <v>13</v>
      </c>
    </row>
    <row r="41" spans="1:22" x14ac:dyDescent="0.2">
      <c r="A41" s="484">
        <v>9</v>
      </c>
      <c r="B41" s="408">
        <v>2394</v>
      </c>
      <c r="C41" s="408">
        <v>2516</v>
      </c>
      <c r="D41" s="408">
        <v>2762</v>
      </c>
      <c r="E41" s="408">
        <v>2903</v>
      </c>
      <c r="F41" s="408">
        <v>3025</v>
      </c>
      <c r="G41" s="408">
        <v>3149</v>
      </c>
      <c r="H41" s="408">
        <v>3266</v>
      </c>
      <c r="I41" s="408">
        <v>3383</v>
      </c>
      <c r="J41" s="408">
        <v>3510</v>
      </c>
      <c r="K41" s="408">
        <v>3622</v>
      </c>
      <c r="L41" s="408"/>
      <c r="M41" s="408"/>
      <c r="N41" s="408"/>
      <c r="O41" s="408"/>
      <c r="P41" s="408"/>
      <c r="Q41" s="408"/>
      <c r="R41" s="408"/>
      <c r="S41" s="408"/>
      <c r="T41" s="488"/>
      <c r="U41" s="445"/>
      <c r="V41" s="487">
        <f t="shared" si="1"/>
        <v>10</v>
      </c>
    </row>
    <row r="42" spans="1:22" x14ac:dyDescent="0.2">
      <c r="A42" s="484">
        <v>10</v>
      </c>
      <c r="B42" s="408">
        <v>2377</v>
      </c>
      <c r="C42" s="408">
        <v>2616</v>
      </c>
      <c r="D42" s="408">
        <v>2745</v>
      </c>
      <c r="E42" s="408">
        <v>2886</v>
      </c>
      <c r="F42" s="408">
        <v>3008</v>
      </c>
      <c r="G42" s="408">
        <v>3232</v>
      </c>
      <c r="H42" s="408">
        <v>3249</v>
      </c>
      <c r="I42" s="408">
        <v>3365</v>
      </c>
      <c r="J42" s="408">
        <v>3493</v>
      </c>
      <c r="K42" s="408">
        <v>3604</v>
      </c>
      <c r="L42" s="408">
        <v>3721</v>
      </c>
      <c r="M42" s="408">
        <v>3833</v>
      </c>
      <c r="N42" s="408">
        <v>3961</v>
      </c>
      <c r="O42" s="408"/>
      <c r="P42" s="408"/>
      <c r="Q42" s="408"/>
      <c r="R42" s="408"/>
      <c r="S42" s="408"/>
      <c r="T42" s="488"/>
      <c r="U42" s="445"/>
      <c r="V42" s="487">
        <f t="shared" si="1"/>
        <v>13</v>
      </c>
    </row>
    <row r="43" spans="1:22" x14ac:dyDescent="0.2">
      <c r="A43" s="484">
        <v>11</v>
      </c>
      <c r="B43" s="408">
        <v>2499</v>
      </c>
      <c r="C43" s="408">
        <v>2616</v>
      </c>
      <c r="D43" s="408">
        <v>2745</v>
      </c>
      <c r="E43" s="408">
        <v>2886</v>
      </c>
      <c r="F43" s="408">
        <v>3008</v>
      </c>
      <c r="G43" s="408">
        <v>3132</v>
      </c>
      <c r="H43" s="408">
        <v>3249</v>
      </c>
      <c r="I43" s="408">
        <v>3493</v>
      </c>
      <c r="J43" s="408">
        <v>3604</v>
      </c>
      <c r="K43" s="408">
        <v>3721</v>
      </c>
      <c r="L43" s="408">
        <v>3833</v>
      </c>
      <c r="M43" s="408">
        <v>3961</v>
      </c>
      <c r="N43" s="408">
        <v>4086</v>
      </c>
      <c r="O43" s="408">
        <v>4209</v>
      </c>
      <c r="P43" s="408">
        <v>4326</v>
      </c>
      <c r="Q43" s="408">
        <v>4446</v>
      </c>
      <c r="R43" s="408">
        <v>4559</v>
      </c>
      <c r="S43" s="408">
        <v>4621</v>
      </c>
      <c r="T43" s="488"/>
      <c r="U43" s="445"/>
      <c r="V43" s="487">
        <f t="shared" si="1"/>
        <v>18</v>
      </c>
    </row>
    <row r="44" spans="1:22" x14ac:dyDescent="0.2">
      <c r="A44" s="484">
        <v>12</v>
      </c>
      <c r="B44" s="408">
        <v>3365</v>
      </c>
      <c r="C44" s="408">
        <v>3493</v>
      </c>
      <c r="D44" s="408">
        <v>3604</v>
      </c>
      <c r="E44" s="408">
        <v>3721</v>
      </c>
      <c r="F44" s="408">
        <v>3833</v>
      </c>
      <c r="G44" s="408">
        <v>3961</v>
      </c>
      <c r="H44" s="408">
        <v>4209</v>
      </c>
      <c r="I44" s="408">
        <v>4326</v>
      </c>
      <c r="J44" s="408">
        <v>4446</v>
      </c>
      <c r="K44" s="408">
        <v>4559</v>
      </c>
      <c r="L44" s="408">
        <v>4682</v>
      </c>
      <c r="M44" s="408">
        <v>4802</v>
      </c>
      <c r="N44" s="408">
        <v>4916</v>
      </c>
      <c r="O44" s="408">
        <v>5036</v>
      </c>
      <c r="P44" s="408">
        <v>5183</v>
      </c>
      <c r="Q44" s="408">
        <v>5258</v>
      </c>
      <c r="R44" s="408"/>
      <c r="S44" s="408"/>
      <c r="T44" s="488"/>
      <c r="U44" s="445"/>
      <c r="V44" s="487">
        <f t="shared" si="1"/>
        <v>16</v>
      </c>
    </row>
    <row r="45" spans="1:22" x14ac:dyDescent="0.2">
      <c r="A45" s="484">
        <v>13</v>
      </c>
      <c r="B45" s="408">
        <v>4086</v>
      </c>
      <c r="C45" s="408">
        <v>4209</v>
      </c>
      <c r="D45" s="408">
        <v>4326</v>
      </c>
      <c r="E45" s="408">
        <v>4446</v>
      </c>
      <c r="F45" s="408">
        <v>4559</v>
      </c>
      <c r="G45" s="408">
        <v>4802</v>
      </c>
      <c r="H45" s="408">
        <v>4916</v>
      </c>
      <c r="I45" s="408">
        <v>5036</v>
      </c>
      <c r="J45" s="408">
        <v>5183</v>
      </c>
      <c r="K45" s="408">
        <v>5332</v>
      </c>
      <c r="L45" s="408">
        <v>5481</v>
      </c>
      <c r="M45" s="408">
        <v>5629</v>
      </c>
      <c r="N45" s="408">
        <v>5702</v>
      </c>
      <c r="O45" s="408"/>
      <c r="P45" s="408"/>
      <c r="Q45" s="408"/>
      <c r="R45" s="408"/>
      <c r="S45" s="408"/>
      <c r="T45" s="488"/>
      <c r="U45" s="445"/>
      <c r="V45" s="487">
        <f t="shared" si="1"/>
        <v>13</v>
      </c>
    </row>
    <row r="46" spans="1:22" x14ac:dyDescent="0.2">
      <c r="A46" s="484">
        <v>14</v>
      </c>
      <c r="B46" s="408">
        <v>4682</v>
      </c>
      <c r="C46" s="408">
        <v>4802</v>
      </c>
      <c r="D46" s="408">
        <v>5036</v>
      </c>
      <c r="E46" s="408">
        <v>5183</v>
      </c>
      <c r="F46" s="408">
        <v>5332</v>
      </c>
      <c r="G46" s="408">
        <v>5481</v>
      </c>
      <c r="H46" s="408">
        <v>5629</v>
      </c>
      <c r="I46" s="408">
        <v>5779</v>
      </c>
      <c r="J46" s="408">
        <v>5938</v>
      </c>
      <c r="K46" s="408">
        <v>6097</v>
      </c>
      <c r="L46" s="408">
        <v>6264</v>
      </c>
      <c r="M46" s="408"/>
      <c r="N46" s="408"/>
      <c r="O46" s="408"/>
      <c r="P46" s="408"/>
      <c r="Q46" s="408"/>
      <c r="R46" s="408"/>
      <c r="S46" s="408"/>
      <c r="T46" s="488"/>
      <c r="U46" s="445"/>
      <c r="V46" s="487">
        <f t="shared" si="1"/>
        <v>11</v>
      </c>
    </row>
    <row r="47" spans="1:22" x14ac:dyDescent="0.2">
      <c r="A47" s="484">
        <v>15</v>
      </c>
      <c r="B47" s="408">
        <v>4916</v>
      </c>
      <c r="C47" s="408">
        <v>5036</v>
      </c>
      <c r="D47" s="408">
        <v>5183</v>
      </c>
      <c r="E47" s="408">
        <v>5481</v>
      </c>
      <c r="F47" s="408">
        <v>5629</v>
      </c>
      <c r="G47" s="408">
        <v>5779</v>
      </c>
      <c r="H47" s="408">
        <v>5938</v>
      </c>
      <c r="I47" s="408">
        <v>6097</v>
      </c>
      <c r="J47" s="408">
        <v>6264</v>
      </c>
      <c r="K47" s="408">
        <v>6463</v>
      </c>
      <c r="L47" s="408">
        <v>6671</v>
      </c>
      <c r="M47" s="408">
        <v>6883</v>
      </c>
      <c r="N47" s="408"/>
      <c r="O47" s="408"/>
      <c r="P47" s="408"/>
      <c r="Q47" s="408"/>
      <c r="R47" s="408"/>
      <c r="S47" s="408"/>
      <c r="T47" s="492"/>
      <c r="U47" s="493"/>
      <c r="V47" s="487">
        <f t="shared" si="1"/>
        <v>12</v>
      </c>
    </row>
    <row r="48" spans="1:22" x14ac:dyDescent="0.2">
      <c r="A48" s="484">
        <v>16</v>
      </c>
      <c r="B48" s="408">
        <v>5332</v>
      </c>
      <c r="C48" s="408">
        <v>5481</v>
      </c>
      <c r="D48" s="408">
        <v>5629</v>
      </c>
      <c r="E48" s="408">
        <v>5938</v>
      </c>
      <c r="F48" s="408">
        <v>6097</v>
      </c>
      <c r="G48" s="408">
        <v>6264</v>
      </c>
      <c r="H48" s="408">
        <v>6463</v>
      </c>
      <c r="I48" s="408">
        <v>6671</v>
      </c>
      <c r="J48" s="408">
        <v>6883</v>
      </c>
      <c r="K48" s="408">
        <v>7104</v>
      </c>
      <c r="L48" s="408">
        <v>7327</v>
      </c>
      <c r="M48" s="408">
        <v>7561</v>
      </c>
      <c r="N48" s="408"/>
      <c r="O48" s="408"/>
      <c r="P48" s="408"/>
      <c r="Q48" s="408"/>
      <c r="R48" s="408"/>
      <c r="S48" s="408"/>
      <c r="T48" s="492"/>
      <c r="U48" s="493"/>
      <c r="V48" s="487">
        <f t="shared" si="1"/>
        <v>12</v>
      </c>
    </row>
    <row r="50" spans="1:22" x14ac:dyDescent="0.2">
      <c r="A50" s="522" t="s">
        <v>0</v>
      </c>
      <c r="B50" s="542">
        <v>43831</v>
      </c>
      <c r="C50" s="542"/>
      <c r="D50" s="523"/>
      <c r="E50" s="524"/>
      <c r="F50" s="524"/>
      <c r="G50" s="524"/>
      <c r="H50" s="524"/>
      <c r="I50" s="524"/>
      <c r="J50" s="524"/>
      <c r="K50" s="524"/>
      <c r="L50" s="524"/>
      <c r="M50" s="524"/>
      <c r="N50" s="524"/>
      <c r="O50" s="524"/>
      <c r="P50" s="524"/>
      <c r="Q50" s="524"/>
      <c r="R50" s="524"/>
      <c r="S50" s="524"/>
      <c r="T50" s="524"/>
      <c r="U50" s="524"/>
      <c r="V50" s="524"/>
    </row>
    <row r="51" spans="1:22" x14ac:dyDescent="0.2">
      <c r="A51" s="523" t="s">
        <v>1</v>
      </c>
      <c r="B51" s="525">
        <v>1</v>
      </c>
      <c r="C51" s="525">
        <v>2</v>
      </c>
      <c r="D51" s="525">
        <v>3</v>
      </c>
      <c r="E51" s="525">
        <v>4</v>
      </c>
      <c r="F51" s="525">
        <v>5</v>
      </c>
      <c r="G51" s="525">
        <v>6</v>
      </c>
      <c r="H51" s="525">
        <v>7</v>
      </c>
      <c r="I51" s="525">
        <v>8</v>
      </c>
      <c r="J51" s="525">
        <v>9</v>
      </c>
      <c r="K51" s="525">
        <v>10</v>
      </c>
      <c r="L51" s="525">
        <v>11</v>
      </c>
      <c r="M51" s="525">
        <v>12</v>
      </c>
      <c r="N51" s="525">
        <v>13</v>
      </c>
      <c r="O51" s="525">
        <v>14</v>
      </c>
      <c r="P51" s="525">
        <v>15</v>
      </c>
      <c r="Q51" s="525">
        <v>16</v>
      </c>
      <c r="R51" s="525">
        <v>17</v>
      </c>
      <c r="S51" s="525">
        <v>18</v>
      </c>
      <c r="T51" s="525">
        <v>19</v>
      </c>
      <c r="U51" s="525">
        <v>20</v>
      </c>
      <c r="V51" s="525" t="s">
        <v>22</v>
      </c>
    </row>
    <row r="52" spans="1:22" x14ac:dyDescent="0.2">
      <c r="A52" s="494" t="s">
        <v>345</v>
      </c>
      <c r="B52" s="526">
        <v>2678</v>
      </c>
      <c r="C52" s="526">
        <v>2761</v>
      </c>
      <c r="D52" s="526">
        <v>2846</v>
      </c>
      <c r="E52" s="526">
        <v>2935</v>
      </c>
      <c r="F52" s="526">
        <v>3026</v>
      </c>
      <c r="G52" s="526">
        <v>3119</v>
      </c>
      <c r="H52" s="526">
        <v>3217</v>
      </c>
      <c r="I52" s="526">
        <v>3316</v>
      </c>
      <c r="J52" s="526">
        <v>3419</v>
      </c>
      <c r="K52" s="526">
        <v>3525</v>
      </c>
      <c r="L52" s="526">
        <v>3634</v>
      </c>
      <c r="M52" s="526">
        <v>3747</v>
      </c>
      <c r="N52" s="526">
        <v>3862</v>
      </c>
      <c r="O52" s="526">
        <v>3982</v>
      </c>
      <c r="P52" s="526">
        <v>4113</v>
      </c>
      <c r="Q52" s="527"/>
      <c r="R52" s="527"/>
      <c r="S52" s="527"/>
      <c r="T52" s="527"/>
      <c r="U52" s="527"/>
      <c r="V52" s="528">
        <f>COUNTA(B52:U52)</f>
        <v>15</v>
      </c>
    </row>
    <row r="53" spans="1:22" x14ac:dyDescent="0.2">
      <c r="A53" s="494" t="s">
        <v>346</v>
      </c>
      <c r="B53" s="526">
        <v>2758</v>
      </c>
      <c r="C53" s="526">
        <v>2851</v>
      </c>
      <c r="D53" s="526">
        <v>2948</v>
      </c>
      <c r="E53" s="526">
        <v>3047</v>
      </c>
      <c r="F53" s="526">
        <v>3150</v>
      </c>
      <c r="G53" s="526">
        <v>3257</v>
      </c>
      <c r="H53" s="526">
        <v>3367</v>
      </c>
      <c r="I53" s="526">
        <v>3481</v>
      </c>
      <c r="J53" s="526">
        <v>3598</v>
      </c>
      <c r="K53" s="526">
        <v>3720</v>
      </c>
      <c r="L53" s="526">
        <v>3845</v>
      </c>
      <c r="M53" s="526">
        <v>3976</v>
      </c>
      <c r="N53" s="526">
        <v>4110</v>
      </c>
      <c r="O53" s="526">
        <v>4249</v>
      </c>
      <c r="P53" s="526">
        <v>4434</v>
      </c>
      <c r="Q53" s="527"/>
      <c r="R53" s="527"/>
      <c r="S53" s="527"/>
      <c r="T53" s="527"/>
      <c r="U53" s="527"/>
      <c r="V53" s="528">
        <f t="shared" ref="V53:V70" si="2">COUNTA(B53:U53)</f>
        <v>15</v>
      </c>
    </row>
    <row r="54" spans="1:22" x14ac:dyDescent="0.2">
      <c r="A54" s="494" t="s">
        <v>347</v>
      </c>
      <c r="B54" s="526">
        <v>2812</v>
      </c>
      <c r="C54" s="526">
        <v>2933</v>
      </c>
      <c r="D54" s="526">
        <v>3059</v>
      </c>
      <c r="E54" s="526">
        <v>3190</v>
      </c>
      <c r="F54" s="526">
        <v>3327</v>
      </c>
      <c r="G54" s="526">
        <v>3470</v>
      </c>
      <c r="H54" s="526">
        <v>3619</v>
      </c>
      <c r="I54" s="526">
        <v>3776</v>
      </c>
      <c r="J54" s="526">
        <v>3937</v>
      </c>
      <c r="K54" s="526">
        <v>4107</v>
      </c>
      <c r="L54" s="526">
        <v>4283</v>
      </c>
      <c r="M54" s="526">
        <v>4468</v>
      </c>
      <c r="N54" s="526">
        <v>4660</v>
      </c>
      <c r="O54" s="526">
        <v>4861</v>
      </c>
      <c r="P54" s="526">
        <v>5070</v>
      </c>
      <c r="Q54" s="527"/>
      <c r="R54" s="527"/>
      <c r="S54" s="527"/>
      <c r="T54" s="527"/>
      <c r="U54" s="527"/>
      <c r="V54" s="528">
        <f t="shared" si="2"/>
        <v>15</v>
      </c>
    </row>
    <row r="55" spans="1:22" x14ac:dyDescent="0.2">
      <c r="A55" s="494" t="s">
        <v>348</v>
      </c>
      <c r="B55" s="526">
        <v>2812</v>
      </c>
      <c r="C55" s="526">
        <v>2933</v>
      </c>
      <c r="D55" s="526">
        <v>3094</v>
      </c>
      <c r="E55" s="526">
        <v>3265</v>
      </c>
      <c r="F55" s="526">
        <v>3436</v>
      </c>
      <c r="G55" s="526">
        <v>3615</v>
      </c>
      <c r="H55" s="526">
        <v>3800</v>
      </c>
      <c r="I55" s="526">
        <v>3989</v>
      </c>
      <c r="J55" s="526">
        <v>4187</v>
      </c>
      <c r="K55" s="526">
        <v>4393</v>
      </c>
      <c r="L55" s="526">
        <v>4605</v>
      </c>
      <c r="M55" s="526">
        <v>4823</v>
      </c>
      <c r="N55" s="526">
        <v>5050</v>
      </c>
      <c r="O55" s="526">
        <v>5283</v>
      </c>
      <c r="P55" s="526">
        <v>5532</v>
      </c>
      <c r="Q55" s="527"/>
      <c r="R55" s="527"/>
      <c r="S55" s="527"/>
      <c r="T55" s="527"/>
      <c r="U55" s="527"/>
      <c r="V55" s="528">
        <f t="shared" si="2"/>
        <v>15</v>
      </c>
    </row>
    <row r="56" spans="1:22" x14ac:dyDescent="0.2">
      <c r="A56" s="486" t="s">
        <v>10</v>
      </c>
      <c r="B56" s="408">
        <v>2768</v>
      </c>
      <c r="C56" s="408">
        <v>2891</v>
      </c>
      <c r="D56" s="408">
        <v>3025</v>
      </c>
      <c r="E56" s="408">
        <v>3173</v>
      </c>
      <c r="F56" s="408">
        <v>3300</v>
      </c>
      <c r="G56" s="408">
        <v>3429</v>
      </c>
      <c r="H56" s="408">
        <v>3550</v>
      </c>
      <c r="I56" s="408">
        <v>3672</v>
      </c>
      <c r="J56" s="408">
        <v>3803</v>
      </c>
      <c r="K56" s="408">
        <v>3924</v>
      </c>
      <c r="L56" s="408">
        <v>4041</v>
      </c>
      <c r="M56" s="408">
        <v>4161</v>
      </c>
      <c r="N56" s="408">
        <v>4364</v>
      </c>
      <c r="O56" s="408"/>
      <c r="P56" s="408"/>
      <c r="Q56" s="408"/>
      <c r="R56" s="408"/>
      <c r="S56" s="408"/>
      <c r="T56" s="408"/>
      <c r="U56" s="408"/>
      <c r="V56" s="487">
        <f t="shared" si="2"/>
        <v>13</v>
      </c>
    </row>
    <row r="57" spans="1:22" x14ac:dyDescent="0.2">
      <c r="A57" s="486" t="s">
        <v>11</v>
      </c>
      <c r="B57" s="445">
        <v>2826</v>
      </c>
      <c r="C57" s="408">
        <v>2962</v>
      </c>
      <c r="D57" s="408">
        <v>3107</v>
      </c>
      <c r="E57" s="408">
        <v>3237</v>
      </c>
      <c r="F57" s="408">
        <v>3365</v>
      </c>
      <c r="G57" s="408">
        <v>3489</v>
      </c>
      <c r="H57" s="408">
        <v>3608</v>
      </c>
      <c r="I57" s="408">
        <v>3742</v>
      </c>
      <c r="J57" s="408">
        <v>3860</v>
      </c>
      <c r="K57" s="408">
        <v>3980</v>
      </c>
      <c r="L57" s="408">
        <v>4099</v>
      </c>
      <c r="M57" s="408">
        <v>4230</v>
      </c>
      <c r="N57" s="408">
        <v>4364</v>
      </c>
      <c r="O57" s="408">
        <v>4490</v>
      </c>
      <c r="P57" s="408">
        <v>4614</v>
      </c>
      <c r="Q57" s="408">
        <v>4737</v>
      </c>
      <c r="R57" s="408">
        <v>4858</v>
      </c>
      <c r="S57" s="408">
        <v>4921</v>
      </c>
      <c r="T57" s="408"/>
      <c r="U57" s="408"/>
      <c r="V57" s="487">
        <f t="shared" si="2"/>
        <v>18</v>
      </c>
    </row>
    <row r="58" spans="1:22" x14ac:dyDescent="0.2">
      <c r="A58" s="486" t="s">
        <v>12</v>
      </c>
      <c r="B58" s="408">
        <v>2962</v>
      </c>
      <c r="C58" s="408">
        <v>3107</v>
      </c>
      <c r="D58" s="408">
        <v>3365</v>
      </c>
      <c r="E58" s="408">
        <v>3608</v>
      </c>
      <c r="F58" s="408">
        <v>3742</v>
      </c>
      <c r="G58" s="408">
        <v>3860</v>
      </c>
      <c r="H58" s="408">
        <v>3980</v>
      </c>
      <c r="I58" s="408">
        <v>4099</v>
      </c>
      <c r="J58" s="408">
        <v>4230</v>
      </c>
      <c r="K58" s="408">
        <v>4364</v>
      </c>
      <c r="L58" s="408">
        <v>4490</v>
      </c>
      <c r="M58" s="408">
        <v>4614</v>
      </c>
      <c r="N58" s="408">
        <v>4737</v>
      </c>
      <c r="O58" s="408">
        <v>4858</v>
      </c>
      <c r="P58" s="408">
        <v>4985</v>
      </c>
      <c r="Q58" s="408">
        <v>5110</v>
      </c>
      <c r="R58" s="408">
        <v>5228</v>
      </c>
      <c r="S58" s="408">
        <v>5354</v>
      </c>
      <c r="T58" s="408">
        <v>5510</v>
      </c>
      <c r="U58" s="408">
        <v>5586</v>
      </c>
      <c r="V58" s="487">
        <f t="shared" si="2"/>
        <v>20</v>
      </c>
    </row>
    <row r="59" spans="1:22" x14ac:dyDescent="0.2">
      <c r="A59" s="486" t="s">
        <v>13</v>
      </c>
      <c r="B59" s="408">
        <v>3107</v>
      </c>
      <c r="C59" s="408">
        <v>3365</v>
      </c>
      <c r="D59" s="408">
        <v>3608</v>
      </c>
      <c r="E59" s="408">
        <v>3860</v>
      </c>
      <c r="F59" s="408">
        <v>4099</v>
      </c>
      <c r="G59" s="408">
        <v>4364</v>
      </c>
      <c r="H59" s="408">
        <v>4490</v>
      </c>
      <c r="I59" s="408">
        <v>4614</v>
      </c>
      <c r="J59" s="408">
        <v>4737</v>
      </c>
      <c r="K59" s="408">
        <v>4858</v>
      </c>
      <c r="L59" s="408">
        <v>4985</v>
      </c>
      <c r="M59" s="408">
        <v>5110</v>
      </c>
      <c r="N59" s="408">
        <v>5228</v>
      </c>
      <c r="O59" s="408">
        <v>5354</v>
      </c>
      <c r="P59" s="408">
        <v>5510</v>
      </c>
      <c r="Q59" s="408">
        <v>5663</v>
      </c>
      <c r="R59" s="408">
        <v>5820</v>
      </c>
      <c r="S59" s="408">
        <v>5976</v>
      </c>
      <c r="T59" s="408">
        <v>6050</v>
      </c>
      <c r="U59" s="408"/>
      <c r="V59" s="487">
        <f t="shared" si="2"/>
        <v>19</v>
      </c>
    </row>
    <row r="60" spans="1:22" x14ac:dyDescent="0.2">
      <c r="A60" s="486" t="s">
        <v>349</v>
      </c>
      <c r="B60" s="408">
        <v>3354</v>
      </c>
      <c r="C60" s="408">
        <v>3460</v>
      </c>
      <c r="D60" s="408">
        <v>3568</v>
      </c>
      <c r="E60" s="408">
        <v>3680</v>
      </c>
      <c r="F60" s="408">
        <v>3796</v>
      </c>
      <c r="G60" s="408">
        <v>3915</v>
      </c>
      <c r="H60" s="408">
        <v>4038</v>
      </c>
      <c r="I60" s="408">
        <v>4165</v>
      </c>
      <c r="J60" s="408">
        <v>4296</v>
      </c>
      <c r="K60" s="408">
        <v>4431</v>
      </c>
      <c r="L60" s="408">
        <v>4570</v>
      </c>
      <c r="M60" s="408">
        <v>4713</v>
      </c>
      <c r="N60" s="408">
        <v>4861</v>
      </c>
      <c r="O60" s="408"/>
      <c r="P60" s="408"/>
      <c r="Q60" s="408"/>
      <c r="R60" s="408"/>
      <c r="S60" s="408"/>
      <c r="T60" s="408"/>
      <c r="U60" s="408"/>
      <c r="V60" s="487">
        <f t="shared" si="2"/>
        <v>13</v>
      </c>
    </row>
    <row r="61" spans="1:22" x14ac:dyDescent="0.2">
      <c r="A61" s="486" t="s">
        <v>350</v>
      </c>
      <c r="B61" s="408">
        <v>3459</v>
      </c>
      <c r="C61" s="408">
        <v>3577</v>
      </c>
      <c r="D61" s="408">
        <v>3699</v>
      </c>
      <c r="E61" s="408">
        <v>3824</v>
      </c>
      <c r="F61" s="408">
        <v>3955</v>
      </c>
      <c r="G61" s="408">
        <v>4089</v>
      </c>
      <c r="H61" s="408">
        <v>4229</v>
      </c>
      <c r="I61" s="408">
        <v>4373</v>
      </c>
      <c r="J61" s="408">
        <v>4521</v>
      </c>
      <c r="K61" s="408">
        <v>4675</v>
      </c>
      <c r="L61" s="408">
        <v>4835</v>
      </c>
      <c r="M61" s="408">
        <v>4999</v>
      </c>
      <c r="N61" s="408">
        <v>5169</v>
      </c>
      <c r="O61" s="408">
        <v>5345</v>
      </c>
      <c r="P61" s="408">
        <v>5527</v>
      </c>
      <c r="Q61" s="408"/>
      <c r="R61" s="408"/>
      <c r="S61" s="408"/>
      <c r="T61" s="408"/>
      <c r="U61" s="408"/>
      <c r="V61" s="487">
        <f t="shared" si="2"/>
        <v>15</v>
      </c>
    </row>
    <row r="62" spans="1:22" x14ac:dyDescent="0.2">
      <c r="A62" s="486" t="s">
        <v>351</v>
      </c>
      <c r="B62" s="408">
        <v>3563</v>
      </c>
      <c r="C62" s="408">
        <v>3689</v>
      </c>
      <c r="D62" s="408">
        <v>3819</v>
      </c>
      <c r="E62" s="408">
        <v>3954</v>
      </c>
      <c r="F62" s="408">
        <v>4093</v>
      </c>
      <c r="G62" s="408">
        <v>4237</v>
      </c>
      <c r="H62" s="408">
        <v>4387</v>
      </c>
      <c r="I62" s="408">
        <v>4541</v>
      </c>
      <c r="J62" s="408">
        <v>4701</v>
      </c>
      <c r="K62" s="408">
        <v>4867</v>
      </c>
      <c r="L62" s="408">
        <v>5039</v>
      </c>
      <c r="M62" s="408">
        <v>5216</v>
      </c>
      <c r="N62" s="408">
        <v>5400</v>
      </c>
      <c r="O62" s="408">
        <v>5590</v>
      </c>
      <c r="P62" s="408">
        <v>5787</v>
      </c>
      <c r="Q62" s="408">
        <v>5990</v>
      </c>
      <c r="R62" s="408"/>
      <c r="S62" s="408"/>
      <c r="T62" s="408"/>
      <c r="U62" s="408"/>
      <c r="V62" s="487">
        <f t="shared" si="2"/>
        <v>16</v>
      </c>
    </row>
    <row r="63" spans="1:22" x14ac:dyDescent="0.2">
      <c r="A63" s="486" t="s">
        <v>352</v>
      </c>
      <c r="B63" s="408">
        <v>3668</v>
      </c>
      <c r="C63" s="408">
        <v>3784</v>
      </c>
      <c r="D63" s="408">
        <v>3903</v>
      </c>
      <c r="E63" s="408">
        <v>4026</v>
      </c>
      <c r="F63" s="408">
        <v>4153</v>
      </c>
      <c r="G63" s="408">
        <v>4284</v>
      </c>
      <c r="H63" s="408">
        <v>4419</v>
      </c>
      <c r="I63" s="408">
        <v>4558</v>
      </c>
      <c r="J63" s="408">
        <v>4702</v>
      </c>
      <c r="K63" s="408">
        <v>4850</v>
      </c>
      <c r="L63" s="408">
        <v>5003</v>
      </c>
      <c r="M63" s="408">
        <v>5161</v>
      </c>
      <c r="N63" s="408">
        <v>5324</v>
      </c>
      <c r="O63" s="408">
        <v>5491</v>
      </c>
      <c r="P63" s="408">
        <v>5665</v>
      </c>
      <c r="Q63" s="408">
        <v>5843</v>
      </c>
      <c r="R63" s="408">
        <v>6027</v>
      </c>
      <c r="S63" s="408">
        <v>6217</v>
      </c>
      <c r="T63" s="408"/>
      <c r="U63" s="408"/>
      <c r="V63" s="487">
        <f t="shared" si="2"/>
        <v>18</v>
      </c>
    </row>
    <row r="64" spans="1:22" x14ac:dyDescent="0.2">
      <c r="A64" s="486" t="s">
        <v>353</v>
      </c>
      <c r="B64" s="408">
        <v>3424</v>
      </c>
      <c r="C64" s="408">
        <v>3676</v>
      </c>
      <c r="D64" s="408">
        <v>3912</v>
      </c>
      <c r="E64" s="408">
        <v>4162</v>
      </c>
      <c r="F64" s="408">
        <v>4422</v>
      </c>
      <c r="G64" s="408">
        <v>4668</v>
      </c>
      <c r="H64" s="408">
        <v>4914</v>
      </c>
      <c r="I64" s="408">
        <v>5037</v>
      </c>
      <c r="J64" s="408">
        <v>5157</v>
      </c>
      <c r="K64" s="408">
        <v>5280</v>
      </c>
      <c r="L64" s="408">
        <v>5435</v>
      </c>
      <c r="M64" s="408">
        <v>5589</v>
      </c>
      <c r="N64" s="408">
        <v>5743</v>
      </c>
      <c r="O64" s="408">
        <v>5898</v>
      </c>
      <c r="P64" s="408">
        <v>6054</v>
      </c>
      <c r="Q64" s="408">
        <v>6218</v>
      </c>
      <c r="R64" s="408">
        <v>6386</v>
      </c>
      <c r="S64" s="408">
        <v>6559</v>
      </c>
      <c r="T64" s="408"/>
      <c r="U64" s="408"/>
      <c r="V64" s="487">
        <f t="shared" si="2"/>
        <v>18</v>
      </c>
    </row>
    <row r="65" spans="1:22" x14ac:dyDescent="0.2">
      <c r="A65" s="486" t="s">
        <v>2</v>
      </c>
      <c r="B65" s="408">
        <v>3018</v>
      </c>
      <c r="C65" s="408">
        <v>3134</v>
      </c>
      <c r="D65" s="408">
        <v>3253</v>
      </c>
      <c r="E65" s="408">
        <v>3368</v>
      </c>
      <c r="F65" s="408">
        <v>3484</v>
      </c>
      <c r="G65" s="408">
        <v>3603</v>
      </c>
      <c r="H65" s="408">
        <v>3719</v>
      </c>
      <c r="I65" s="408">
        <v>3836</v>
      </c>
      <c r="J65" s="408">
        <v>3951</v>
      </c>
      <c r="K65" s="408">
        <v>4069</v>
      </c>
      <c r="L65" s="408">
        <v>4187</v>
      </c>
      <c r="M65" s="408">
        <v>4303</v>
      </c>
      <c r="N65" s="408">
        <v>4422</v>
      </c>
      <c r="O65" s="408"/>
      <c r="P65" s="408"/>
      <c r="Q65" s="408"/>
      <c r="R65" s="408"/>
      <c r="S65" s="408"/>
      <c r="T65" s="445"/>
      <c r="U65" s="445"/>
      <c r="V65" s="487">
        <f t="shared" si="2"/>
        <v>13</v>
      </c>
    </row>
    <row r="66" spans="1:22" x14ac:dyDescent="0.2">
      <c r="A66" s="486" t="s">
        <v>3</v>
      </c>
      <c r="B66" s="408">
        <v>3134</v>
      </c>
      <c r="C66" s="408">
        <v>3368</v>
      </c>
      <c r="D66" s="408">
        <v>3603</v>
      </c>
      <c r="E66" s="408">
        <v>3719</v>
      </c>
      <c r="F66" s="408">
        <v>3836</v>
      </c>
      <c r="G66" s="408">
        <v>3951</v>
      </c>
      <c r="H66" s="408">
        <v>4069</v>
      </c>
      <c r="I66" s="408">
        <v>4187</v>
      </c>
      <c r="J66" s="408">
        <v>4303</v>
      </c>
      <c r="K66" s="408">
        <v>4422</v>
      </c>
      <c r="L66" s="408">
        <v>4539</v>
      </c>
      <c r="M66" s="408">
        <v>4654</v>
      </c>
      <c r="N66" s="408">
        <v>4771</v>
      </c>
      <c r="O66" s="408">
        <v>4887</v>
      </c>
      <c r="P66" s="408">
        <v>5006</v>
      </c>
      <c r="Q66" s="408"/>
      <c r="R66" s="408"/>
      <c r="S66" s="408"/>
      <c r="T66" s="445"/>
      <c r="U66" s="445"/>
      <c r="V66" s="487">
        <f t="shared" si="2"/>
        <v>15</v>
      </c>
    </row>
    <row r="67" spans="1:22" x14ac:dyDescent="0.2">
      <c r="A67" s="486" t="s">
        <v>4</v>
      </c>
      <c r="B67" s="408">
        <v>3134</v>
      </c>
      <c r="C67" s="408">
        <v>3368</v>
      </c>
      <c r="D67" s="408">
        <v>3603</v>
      </c>
      <c r="E67" s="408">
        <v>3719</v>
      </c>
      <c r="F67" s="408">
        <v>3836</v>
      </c>
      <c r="G67" s="408">
        <v>3951</v>
      </c>
      <c r="H67" s="408">
        <v>4069</v>
      </c>
      <c r="I67" s="408">
        <v>4187</v>
      </c>
      <c r="J67" s="408">
        <v>4303</v>
      </c>
      <c r="K67" s="408">
        <v>4422</v>
      </c>
      <c r="L67" s="408">
        <v>4539</v>
      </c>
      <c r="M67" s="408">
        <v>4654</v>
      </c>
      <c r="N67" s="408">
        <v>4771</v>
      </c>
      <c r="O67" s="408">
        <v>4887</v>
      </c>
      <c r="P67" s="408">
        <v>5006</v>
      </c>
      <c r="Q67" s="408">
        <v>5122</v>
      </c>
      <c r="R67" s="408">
        <v>5240</v>
      </c>
      <c r="S67" s="408"/>
      <c r="T67" s="445"/>
      <c r="U67" s="445"/>
      <c r="V67" s="487">
        <f t="shared" si="2"/>
        <v>17</v>
      </c>
    </row>
    <row r="68" spans="1:22" x14ac:dyDescent="0.2">
      <c r="A68" s="486" t="s">
        <v>5</v>
      </c>
      <c r="B68" s="408">
        <v>3253</v>
      </c>
      <c r="C68" s="408">
        <v>3603</v>
      </c>
      <c r="D68" s="408">
        <v>3863</v>
      </c>
      <c r="E68" s="408">
        <v>4069</v>
      </c>
      <c r="F68" s="408">
        <v>4303</v>
      </c>
      <c r="G68" s="408">
        <v>4422</v>
      </c>
      <c r="H68" s="408">
        <v>4539</v>
      </c>
      <c r="I68" s="408">
        <v>4654</v>
      </c>
      <c r="J68" s="408">
        <v>4771</v>
      </c>
      <c r="K68" s="408">
        <v>4887</v>
      </c>
      <c r="L68" s="408">
        <v>5006</v>
      </c>
      <c r="M68" s="408">
        <v>5122</v>
      </c>
      <c r="N68" s="408">
        <v>5240</v>
      </c>
      <c r="O68" s="408">
        <v>5355</v>
      </c>
      <c r="P68" s="408">
        <v>5472</v>
      </c>
      <c r="Q68" s="408">
        <v>5591</v>
      </c>
      <c r="R68" s="408"/>
      <c r="S68" s="408"/>
      <c r="T68" s="445"/>
      <c r="U68" s="445"/>
      <c r="V68" s="487">
        <f t="shared" si="2"/>
        <v>16</v>
      </c>
    </row>
    <row r="69" spans="1:22" x14ac:dyDescent="0.2">
      <c r="A69" s="486" t="s">
        <v>6</v>
      </c>
      <c r="B69" s="408">
        <v>3253</v>
      </c>
      <c r="C69" s="408">
        <v>3603</v>
      </c>
      <c r="D69" s="408">
        <v>3863</v>
      </c>
      <c r="E69" s="408">
        <v>4069</v>
      </c>
      <c r="F69" s="408">
        <v>4303</v>
      </c>
      <c r="G69" s="408">
        <v>4422</v>
      </c>
      <c r="H69" s="408">
        <v>4539</v>
      </c>
      <c r="I69" s="408">
        <v>4654</v>
      </c>
      <c r="J69" s="408">
        <v>4771</v>
      </c>
      <c r="K69" s="408">
        <v>4887</v>
      </c>
      <c r="L69" s="408">
        <v>5006</v>
      </c>
      <c r="M69" s="408">
        <v>5122</v>
      </c>
      <c r="N69" s="408">
        <v>5240</v>
      </c>
      <c r="O69" s="408">
        <v>5355</v>
      </c>
      <c r="P69" s="408">
        <v>5472</v>
      </c>
      <c r="Q69" s="408">
        <v>5591</v>
      </c>
      <c r="R69" s="408">
        <v>5707</v>
      </c>
      <c r="S69" s="408">
        <v>5823</v>
      </c>
      <c r="T69" s="445"/>
      <c r="U69" s="445"/>
      <c r="V69" s="487">
        <f t="shared" si="2"/>
        <v>18</v>
      </c>
    </row>
    <row r="70" spans="1:22" x14ac:dyDescent="0.2">
      <c r="A70" s="486" t="s">
        <v>7</v>
      </c>
      <c r="B70" s="408">
        <v>3302</v>
      </c>
      <c r="C70" s="408">
        <v>3545</v>
      </c>
      <c r="D70" s="408">
        <v>3793</v>
      </c>
      <c r="E70" s="408">
        <v>4031</v>
      </c>
      <c r="F70" s="408">
        <v>4294</v>
      </c>
      <c r="G70" s="408">
        <v>4422</v>
      </c>
      <c r="H70" s="408">
        <v>4544</v>
      </c>
      <c r="I70" s="408">
        <v>4668</v>
      </c>
      <c r="J70" s="408">
        <v>4786</v>
      </c>
      <c r="K70" s="408">
        <v>4919</v>
      </c>
      <c r="L70" s="408">
        <v>5037</v>
      </c>
      <c r="M70" s="408">
        <v>5157</v>
      </c>
      <c r="N70" s="408">
        <v>5280</v>
      </c>
      <c r="O70" s="408">
        <v>5435</v>
      </c>
      <c r="P70" s="408">
        <v>5589</v>
      </c>
      <c r="Q70" s="408">
        <v>5743</v>
      </c>
      <c r="R70" s="408">
        <v>5898</v>
      </c>
      <c r="S70" s="408">
        <v>5972</v>
      </c>
      <c r="T70" s="445"/>
      <c r="U70" s="445"/>
      <c r="V70" s="487">
        <f t="shared" si="2"/>
        <v>18</v>
      </c>
    </row>
    <row r="71" spans="1:22" x14ac:dyDescent="0.2">
      <c r="A71" s="486" t="s">
        <v>8</v>
      </c>
      <c r="B71" s="408">
        <v>3424</v>
      </c>
      <c r="C71" s="408">
        <v>3676</v>
      </c>
      <c r="D71" s="408">
        <v>3912</v>
      </c>
      <c r="E71" s="408">
        <v>4162</v>
      </c>
      <c r="F71" s="408">
        <v>4422</v>
      </c>
      <c r="G71" s="408">
        <v>4668</v>
      </c>
      <c r="H71" s="408">
        <v>4914</v>
      </c>
      <c r="I71" s="408">
        <v>5037</v>
      </c>
      <c r="J71" s="408">
        <v>5157</v>
      </c>
      <c r="K71" s="408">
        <v>5280</v>
      </c>
      <c r="L71" s="408">
        <v>5435</v>
      </c>
      <c r="M71" s="408">
        <v>5589</v>
      </c>
      <c r="N71" s="408">
        <v>5743</v>
      </c>
      <c r="O71" s="408">
        <v>5898</v>
      </c>
      <c r="P71" s="408">
        <v>6054</v>
      </c>
      <c r="Q71" s="408">
        <v>6218</v>
      </c>
      <c r="R71" s="408">
        <v>6386</v>
      </c>
      <c r="S71" s="408">
        <v>6559</v>
      </c>
      <c r="T71" s="445"/>
      <c r="U71" s="445"/>
      <c r="V71" s="487">
        <f>COUNTA(B71:U71)</f>
        <v>18</v>
      </c>
    </row>
    <row r="72" spans="1:22" x14ac:dyDescent="0.2">
      <c r="A72" s="421" t="s">
        <v>79</v>
      </c>
      <c r="B72" s="445">
        <v>1706.86</v>
      </c>
      <c r="C72" s="445">
        <v>1706.86</v>
      </c>
      <c r="D72" s="445">
        <v>1752</v>
      </c>
      <c r="E72" s="445">
        <v>1784</v>
      </c>
      <c r="F72" s="445">
        <v>1820</v>
      </c>
      <c r="G72" s="445">
        <v>1858</v>
      </c>
      <c r="H72" s="445">
        <v>1907</v>
      </c>
      <c r="I72" s="445"/>
      <c r="J72" s="488"/>
      <c r="K72" s="488"/>
      <c r="L72" s="488"/>
      <c r="M72" s="488"/>
      <c r="N72" s="488"/>
      <c r="O72" s="488"/>
      <c r="P72" s="488"/>
      <c r="Q72" s="488"/>
      <c r="R72" s="488"/>
      <c r="S72" s="488"/>
      <c r="T72" s="488"/>
      <c r="U72" s="445"/>
      <c r="V72" s="487">
        <f t="shared" ref="V72:V103" si="3">COUNTA(B72:U72)</f>
        <v>7</v>
      </c>
    </row>
    <row r="73" spans="1:22" x14ac:dyDescent="0.2">
      <c r="A73" s="484" t="s">
        <v>80</v>
      </c>
      <c r="B73" s="445">
        <v>1706.86</v>
      </c>
      <c r="C73" s="445">
        <v>1718</v>
      </c>
      <c r="D73" s="445">
        <v>1784</v>
      </c>
      <c r="E73" s="445">
        <v>1858</v>
      </c>
      <c r="F73" s="445">
        <v>1907</v>
      </c>
      <c r="G73" s="445">
        <v>1963</v>
      </c>
      <c r="H73" s="445">
        <v>2031</v>
      </c>
      <c r="I73" s="445">
        <v>2096</v>
      </c>
      <c r="J73" s="488"/>
      <c r="K73" s="488"/>
      <c r="L73" s="488"/>
      <c r="M73" s="488"/>
      <c r="N73" s="488"/>
      <c r="O73" s="488"/>
      <c r="P73" s="488"/>
      <c r="Q73" s="488"/>
      <c r="R73" s="488"/>
      <c r="S73" s="488"/>
      <c r="T73" s="488"/>
      <c r="U73" s="445"/>
      <c r="V73" s="487">
        <f t="shared" si="3"/>
        <v>8</v>
      </c>
    </row>
    <row r="74" spans="1:22" x14ac:dyDescent="0.2">
      <c r="A74" s="484" t="s">
        <v>81</v>
      </c>
      <c r="B74" s="445">
        <v>1706.86</v>
      </c>
      <c r="C74" s="445">
        <v>1784</v>
      </c>
      <c r="D74" s="445">
        <v>1858</v>
      </c>
      <c r="E74" s="445">
        <v>1963</v>
      </c>
      <c r="F74" s="445">
        <v>2031</v>
      </c>
      <c r="G74" s="445">
        <v>2096</v>
      </c>
      <c r="H74" s="445">
        <v>2160</v>
      </c>
      <c r="I74" s="445"/>
      <c r="J74" s="488"/>
      <c r="K74" s="488"/>
      <c r="L74" s="488"/>
      <c r="M74" s="488"/>
      <c r="N74" s="488"/>
      <c r="O74" s="488"/>
      <c r="P74" s="488"/>
      <c r="Q74" s="488"/>
      <c r="R74" s="488"/>
      <c r="S74" s="488"/>
      <c r="T74" s="488"/>
      <c r="U74" s="445"/>
      <c r="V74" s="487">
        <f t="shared" si="3"/>
        <v>7</v>
      </c>
    </row>
    <row r="75" spans="1:22" x14ac:dyDescent="0.2">
      <c r="A75" s="484" t="s">
        <v>354</v>
      </c>
      <c r="B75" s="445">
        <v>1706.86</v>
      </c>
      <c r="C75" s="445">
        <v>1709</v>
      </c>
      <c r="D75" s="445">
        <v>1764</v>
      </c>
      <c r="E75" s="445">
        <v>1819</v>
      </c>
      <c r="F75" s="445"/>
      <c r="G75" s="445"/>
      <c r="H75" s="445"/>
      <c r="I75" s="445"/>
      <c r="J75" s="445"/>
      <c r="K75" s="488"/>
      <c r="L75" s="488"/>
      <c r="M75" s="488"/>
      <c r="N75" s="488"/>
      <c r="O75" s="488"/>
      <c r="P75" s="488"/>
      <c r="Q75" s="488"/>
      <c r="R75" s="488"/>
      <c r="S75" s="488"/>
      <c r="T75" s="488"/>
      <c r="U75" s="445"/>
      <c r="V75" s="487">
        <f t="shared" si="3"/>
        <v>4</v>
      </c>
    </row>
    <row r="76" spans="1:22" x14ac:dyDescent="0.2">
      <c r="A76" s="486" t="s">
        <v>327</v>
      </c>
      <c r="B76" s="408">
        <v>2678</v>
      </c>
      <c r="C76" s="408">
        <v>2761</v>
      </c>
      <c r="D76" s="408">
        <v>2846</v>
      </c>
      <c r="E76" s="408">
        <v>2935</v>
      </c>
      <c r="F76" s="408">
        <v>3026</v>
      </c>
      <c r="G76" s="408">
        <v>3119</v>
      </c>
      <c r="H76" s="408">
        <v>3217</v>
      </c>
      <c r="I76" s="408">
        <v>3316</v>
      </c>
      <c r="J76" s="408">
        <v>3419</v>
      </c>
      <c r="K76" s="408">
        <v>3525</v>
      </c>
      <c r="L76" s="408">
        <v>3634</v>
      </c>
      <c r="M76" s="408">
        <v>3747</v>
      </c>
      <c r="N76" s="408">
        <v>3862</v>
      </c>
      <c r="O76" s="408">
        <v>3982</v>
      </c>
      <c r="P76" s="408">
        <v>4113</v>
      </c>
      <c r="Q76" s="488"/>
      <c r="R76" s="488"/>
      <c r="S76" s="488"/>
      <c r="T76" s="488"/>
      <c r="U76" s="445"/>
      <c r="V76" s="487">
        <f t="shared" si="3"/>
        <v>15</v>
      </c>
    </row>
    <row r="77" spans="1:22" x14ac:dyDescent="0.2">
      <c r="A77" s="486" t="s">
        <v>328</v>
      </c>
      <c r="B77" s="408">
        <v>2758</v>
      </c>
      <c r="C77" s="408">
        <v>2851</v>
      </c>
      <c r="D77" s="408">
        <v>2948</v>
      </c>
      <c r="E77" s="408">
        <v>3047</v>
      </c>
      <c r="F77" s="408">
        <v>3150</v>
      </c>
      <c r="G77" s="408">
        <v>3257</v>
      </c>
      <c r="H77" s="408">
        <v>3367</v>
      </c>
      <c r="I77" s="408">
        <v>3481</v>
      </c>
      <c r="J77" s="408">
        <v>3598</v>
      </c>
      <c r="K77" s="408">
        <v>3720</v>
      </c>
      <c r="L77" s="408">
        <v>3845</v>
      </c>
      <c r="M77" s="408">
        <v>3976</v>
      </c>
      <c r="N77" s="408">
        <v>4110</v>
      </c>
      <c r="O77" s="408">
        <v>4249</v>
      </c>
      <c r="P77" s="408">
        <v>4434</v>
      </c>
      <c r="Q77" s="488"/>
      <c r="R77" s="488"/>
      <c r="S77" s="488"/>
      <c r="T77" s="488"/>
      <c r="U77" s="445"/>
      <c r="V77" s="487">
        <f t="shared" si="3"/>
        <v>15</v>
      </c>
    </row>
    <row r="78" spans="1:22" x14ac:dyDescent="0.2">
      <c r="A78" s="486" t="s">
        <v>329</v>
      </c>
      <c r="B78" s="408">
        <v>2812</v>
      </c>
      <c r="C78" s="408">
        <v>2933</v>
      </c>
      <c r="D78" s="408">
        <v>3059</v>
      </c>
      <c r="E78" s="408">
        <v>3190</v>
      </c>
      <c r="F78" s="408">
        <v>3327</v>
      </c>
      <c r="G78" s="408">
        <v>3470</v>
      </c>
      <c r="H78" s="408">
        <v>3619</v>
      </c>
      <c r="I78" s="408">
        <v>3776</v>
      </c>
      <c r="J78" s="408">
        <v>3937</v>
      </c>
      <c r="K78" s="408">
        <v>4107</v>
      </c>
      <c r="L78" s="408">
        <v>4283</v>
      </c>
      <c r="M78" s="408">
        <v>4468</v>
      </c>
      <c r="N78" s="408">
        <v>4660</v>
      </c>
      <c r="O78" s="408">
        <v>4861</v>
      </c>
      <c r="P78" s="408">
        <v>5070</v>
      </c>
      <c r="Q78" s="488"/>
      <c r="R78" s="488"/>
      <c r="S78" s="488"/>
      <c r="T78" s="488"/>
      <c r="U78" s="445"/>
      <c r="V78" s="487">
        <f t="shared" si="3"/>
        <v>15</v>
      </c>
    </row>
    <row r="79" spans="1:22" x14ac:dyDescent="0.2">
      <c r="A79" s="486" t="s">
        <v>330</v>
      </c>
      <c r="B79" s="408">
        <v>2812</v>
      </c>
      <c r="C79" s="408">
        <v>2933</v>
      </c>
      <c r="D79" s="408">
        <v>3094</v>
      </c>
      <c r="E79" s="408">
        <v>3265</v>
      </c>
      <c r="F79" s="408">
        <v>3436</v>
      </c>
      <c r="G79" s="408">
        <v>3615</v>
      </c>
      <c r="H79" s="408">
        <v>3800</v>
      </c>
      <c r="I79" s="408">
        <v>3989</v>
      </c>
      <c r="J79" s="408">
        <v>4187</v>
      </c>
      <c r="K79" s="408">
        <v>4393</v>
      </c>
      <c r="L79" s="408">
        <v>4605</v>
      </c>
      <c r="M79" s="408">
        <v>4823</v>
      </c>
      <c r="N79" s="408">
        <v>5050</v>
      </c>
      <c r="O79" s="408">
        <v>5283</v>
      </c>
      <c r="P79" s="408">
        <v>5532</v>
      </c>
      <c r="Q79" s="488"/>
      <c r="R79" s="488"/>
      <c r="S79" s="488"/>
      <c r="T79" s="488"/>
      <c r="U79" s="445"/>
      <c r="V79" s="487">
        <f t="shared" si="3"/>
        <v>15</v>
      </c>
    </row>
    <row r="80" spans="1:22" x14ac:dyDescent="0.2">
      <c r="A80" s="486" t="s">
        <v>331</v>
      </c>
      <c r="B80" s="408">
        <v>3544</v>
      </c>
      <c r="C80" s="408">
        <v>3677</v>
      </c>
      <c r="D80" s="408">
        <v>3796</v>
      </c>
      <c r="E80" s="408">
        <v>4035</v>
      </c>
      <c r="F80" s="408">
        <v>4299</v>
      </c>
      <c r="G80" s="408">
        <v>4466</v>
      </c>
      <c r="H80" s="408">
        <v>4635</v>
      </c>
      <c r="I80" s="408">
        <v>4803</v>
      </c>
      <c r="J80" s="408">
        <v>4972</v>
      </c>
      <c r="K80" s="408">
        <v>5139</v>
      </c>
      <c r="L80" s="408">
        <v>5310</v>
      </c>
      <c r="M80" s="408">
        <v>5479</v>
      </c>
      <c r="N80" s="408">
        <v>5648</v>
      </c>
      <c r="O80" s="408">
        <v>5816</v>
      </c>
      <c r="P80" s="408">
        <v>5990</v>
      </c>
      <c r="Q80" s="488"/>
      <c r="R80" s="488"/>
      <c r="S80" s="488"/>
      <c r="T80" s="488"/>
      <c r="U80" s="445"/>
      <c r="V80" s="487">
        <f t="shared" si="3"/>
        <v>15</v>
      </c>
    </row>
    <row r="81" spans="1:22" x14ac:dyDescent="0.2">
      <c r="A81" s="484" t="s">
        <v>14</v>
      </c>
      <c r="B81" s="445">
        <f>0.5*B76</f>
        <v>1339</v>
      </c>
      <c r="C81" s="489"/>
      <c r="D81" s="489"/>
      <c r="E81" s="489"/>
      <c r="F81" s="489"/>
      <c r="G81" s="489"/>
      <c r="H81" s="489"/>
      <c r="I81" s="489"/>
      <c r="J81" s="489"/>
      <c r="K81" s="489"/>
      <c r="L81" s="489"/>
      <c r="M81" s="489"/>
      <c r="N81" s="489"/>
      <c r="O81" s="489"/>
      <c r="P81" s="489"/>
      <c r="Q81" s="488"/>
      <c r="R81" s="490"/>
      <c r="S81" s="490"/>
      <c r="T81" s="490"/>
      <c r="U81" s="489"/>
      <c r="V81" s="487">
        <f t="shared" si="3"/>
        <v>1</v>
      </c>
    </row>
    <row r="82" spans="1:22" x14ac:dyDescent="0.2">
      <c r="A82" s="484" t="s">
        <v>15</v>
      </c>
      <c r="B82" s="445">
        <f>0.5*B77</f>
        <v>1379</v>
      </c>
      <c r="C82" s="489"/>
      <c r="D82" s="489"/>
      <c r="E82" s="489"/>
      <c r="F82" s="489"/>
      <c r="G82" s="489"/>
      <c r="H82" s="489"/>
      <c r="I82" s="489"/>
      <c r="J82" s="489"/>
      <c r="K82" s="489"/>
      <c r="L82" s="489"/>
      <c r="M82" s="489"/>
      <c r="N82" s="489"/>
      <c r="O82" s="489"/>
      <c r="P82" s="489"/>
      <c r="Q82" s="488"/>
      <c r="R82" s="490"/>
      <c r="S82" s="490"/>
      <c r="T82" s="490"/>
      <c r="U82" s="489"/>
      <c r="V82" s="487">
        <f t="shared" si="3"/>
        <v>1</v>
      </c>
    </row>
    <row r="83" spans="1:22" x14ac:dyDescent="0.2">
      <c r="A83" s="491" t="s">
        <v>78</v>
      </c>
      <c r="B83" s="408">
        <v>3018</v>
      </c>
      <c r="C83" s="408">
        <v>3134</v>
      </c>
      <c r="D83" s="408">
        <v>3253</v>
      </c>
      <c r="E83" s="408">
        <v>3368</v>
      </c>
      <c r="F83" s="408">
        <v>3484</v>
      </c>
      <c r="G83" s="408">
        <v>3603</v>
      </c>
      <c r="H83" s="408">
        <v>3719</v>
      </c>
      <c r="I83" s="408">
        <v>3836</v>
      </c>
      <c r="J83" s="408">
        <v>3951</v>
      </c>
      <c r="K83" s="408">
        <v>4069</v>
      </c>
      <c r="L83" s="408">
        <v>4187</v>
      </c>
      <c r="M83" s="408"/>
      <c r="N83" s="408"/>
      <c r="O83" s="408"/>
      <c r="P83" s="408"/>
      <c r="Q83" s="488"/>
      <c r="R83" s="488"/>
      <c r="S83" s="488"/>
      <c r="T83" s="488"/>
      <c r="U83" s="445"/>
      <c r="V83" s="487">
        <f t="shared" si="3"/>
        <v>11</v>
      </c>
    </row>
    <row r="84" spans="1:22" x14ac:dyDescent="0.2">
      <c r="A84" s="491" t="s">
        <v>74</v>
      </c>
      <c r="B84" s="408">
        <v>3134</v>
      </c>
      <c r="C84" s="408">
        <v>3368</v>
      </c>
      <c r="D84" s="408">
        <v>3603</v>
      </c>
      <c r="E84" s="408">
        <v>3719</v>
      </c>
      <c r="F84" s="408">
        <v>3836</v>
      </c>
      <c r="G84" s="408">
        <v>3951</v>
      </c>
      <c r="H84" s="408">
        <v>4069</v>
      </c>
      <c r="I84" s="408">
        <v>4187</v>
      </c>
      <c r="J84" s="408">
        <v>4303</v>
      </c>
      <c r="K84" s="408">
        <v>4422</v>
      </c>
      <c r="L84" s="408"/>
      <c r="M84" s="408"/>
      <c r="N84" s="408"/>
      <c r="O84" s="408"/>
      <c r="P84" s="408"/>
      <c r="Q84" s="488"/>
      <c r="R84" s="488"/>
      <c r="S84" s="488"/>
      <c r="T84" s="488"/>
      <c r="U84" s="445"/>
      <c r="V84" s="487">
        <f t="shared" si="3"/>
        <v>10</v>
      </c>
    </row>
    <row r="85" spans="1:22" x14ac:dyDescent="0.2">
      <c r="A85" s="491" t="s">
        <v>75</v>
      </c>
      <c r="B85" s="408">
        <v>3134</v>
      </c>
      <c r="C85" s="408">
        <v>3368</v>
      </c>
      <c r="D85" s="408">
        <v>3603</v>
      </c>
      <c r="E85" s="408">
        <v>3719</v>
      </c>
      <c r="F85" s="408">
        <v>3836</v>
      </c>
      <c r="G85" s="408">
        <v>3951</v>
      </c>
      <c r="H85" s="408">
        <v>4069</v>
      </c>
      <c r="I85" s="408">
        <v>4187</v>
      </c>
      <c r="J85" s="408">
        <v>4303</v>
      </c>
      <c r="K85" s="408">
        <v>4422</v>
      </c>
      <c r="L85" s="408">
        <v>4539</v>
      </c>
      <c r="M85" s="408"/>
      <c r="N85" s="408"/>
      <c r="O85" s="408"/>
      <c r="P85" s="408"/>
      <c r="Q85" s="488"/>
      <c r="R85" s="488"/>
      <c r="S85" s="488"/>
      <c r="T85" s="488"/>
      <c r="U85" s="445"/>
      <c r="V85" s="487">
        <f t="shared" si="3"/>
        <v>11</v>
      </c>
    </row>
    <row r="86" spans="1:22" x14ac:dyDescent="0.2">
      <c r="A86" s="491" t="s">
        <v>76</v>
      </c>
      <c r="B86" s="408">
        <v>3253</v>
      </c>
      <c r="C86" s="408">
        <v>3603</v>
      </c>
      <c r="D86" s="408">
        <v>3863</v>
      </c>
      <c r="E86" s="408">
        <v>4069</v>
      </c>
      <c r="F86" s="408">
        <v>4303</v>
      </c>
      <c r="G86" s="408">
        <v>4422</v>
      </c>
      <c r="H86" s="408">
        <v>4539</v>
      </c>
      <c r="I86" s="408">
        <v>4654</v>
      </c>
      <c r="J86" s="408">
        <v>4771</v>
      </c>
      <c r="K86" s="408">
        <v>4887</v>
      </c>
      <c r="L86" s="408">
        <v>5006</v>
      </c>
      <c r="M86" s="408">
        <v>5122</v>
      </c>
      <c r="N86" s="408">
        <v>5240</v>
      </c>
      <c r="O86" s="408"/>
      <c r="P86" s="408"/>
      <c r="Q86" s="488"/>
      <c r="R86" s="488"/>
      <c r="S86" s="488"/>
      <c r="T86" s="488"/>
      <c r="U86" s="445"/>
      <c r="V86" s="487">
        <f t="shared" si="3"/>
        <v>13</v>
      </c>
    </row>
    <row r="87" spans="1:22" x14ac:dyDescent="0.2">
      <c r="A87" s="491" t="s">
        <v>77</v>
      </c>
      <c r="B87" s="408">
        <v>3253</v>
      </c>
      <c r="C87" s="408">
        <v>3603</v>
      </c>
      <c r="D87" s="408">
        <v>3863</v>
      </c>
      <c r="E87" s="408">
        <v>4069</v>
      </c>
      <c r="F87" s="408">
        <v>4303</v>
      </c>
      <c r="G87" s="408">
        <v>4422</v>
      </c>
      <c r="H87" s="408">
        <v>4539</v>
      </c>
      <c r="I87" s="408">
        <v>4654</v>
      </c>
      <c r="J87" s="408">
        <v>4771</v>
      </c>
      <c r="K87" s="408">
        <v>4887</v>
      </c>
      <c r="L87" s="408">
        <v>5006</v>
      </c>
      <c r="M87" s="408">
        <v>5122</v>
      </c>
      <c r="N87" s="408">
        <v>5240</v>
      </c>
      <c r="O87" s="408">
        <v>5355</v>
      </c>
      <c r="P87" s="408">
        <v>5472</v>
      </c>
      <c r="Q87" s="488"/>
      <c r="R87" s="488"/>
      <c r="S87" s="488"/>
      <c r="T87" s="488"/>
      <c r="U87" s="445"/>
      <c r="V87" s="487">
        <f t="shared" si="3"/>
        <v>15</v>
      </c>
    </row>
    <row r="88" spans="1:22" x14ac:dyDescent="0.2">
      <c r="A88" s="484">
        <v>1</v>
      </c>
      <c r="B88" s="445">
        <f>B72</f>
        <v>1706.86</v>
      </c>
      <c r="C88" s="445">
        <f>C72</f>
        <v>1706.86</v>
      </c>
      <c r="D88" s="408">
        <v>1784</v>
      </c>
      <c r="E88" s="408">
        <v>1816</v>
      </c>
      <c r="F88" s="408">
        <v>1853</v>
      </c>
      <c r="G88" s="408">
        <v>1890</v>
      </c>
      <c r="H88" s="408">
        <v>1939</v>
      </c>
      <c r="I88" s="408"/>
      <c r="J88" s="408"/>
      <c r="K88" s="408"/>
      <c r="L88" s="408"/>
      <c r="M88" s="408"/>
      <c r="N88" s="408"/>
      <c r="O88" s="408"/>
      <c r="P88" s="408"/>
      <c r="Q88" s="408"/>
      <c r="R88" s="408"/>
      <c r="S88" s="408"/>
      <c r="T88" s="488"/>
      <c r="U88" s="445"/>
      <c r="V88" s="487">
        <f t="shared" si="3"/>
        <v>7</v>
      </c>
    </row>
    <row r="89" spans="1:22" x14ac:dyDescent="0.2">
      <c r="A89" s="484">
        <v>2</v>
      </c>
      <c r="B89" s="445">
        <f t="shared" ref="B89:B90" si="4">B73</f>
        <v>1706.86</v>
      </c>
      <c r="C89" s="408">
        <v>1750</v>
      </c>
      <c r="D89" s="408">
        <v>1816</v>
      </c>
      <c r="E89" s="408">
        <v>1890</v>
      </c>
      <c r="F89" s="408">
        <v>1939</v>
      </c>
      <c r="G89" s="408">
        <v>1995</v>
      </c>
      <c r="H89" s="408">
        <v>2063</v>
      </c>
      <c r="I89" s="408">
        <v>2128</v>
      </c>
      <c r="J89" s="408"/>
      <c r="K89" s="408"/>
      <c r="L89" s="408"/>
      <c r="M89" s="408"/>
      <c r="N89" s="408"/>
      <c r="O89" s="408"/>
      <c r="P89" s="408"/>
      <c r="Q89" s="408"/>
      <c r="R89" s="408"/>
      <c r="S89" s="408"/>
      <c r="T89" s="488"/>
      <c r="U89" s="445"/>
      <c r="V89" s="487">
        <f t="shared" si="3"/>
        <v>8</v>
      </c>
    </row>
    <row r="90" spans="1:22" x14ac:dyDescent="0.2">
      <c r="A90" s="484">
        <v>3</v>
      </c>
      <c r="B90" s="445">
        <f t="shared" si="4"/>
        <v>1706.86</v>
      </c>
      <c r="C90" s="408">
        <v>1816</v>
      </c>
      <c r="D90" s="408">
        <v>1890</v>
      </c>
      <c r="E90" s="408">
        <v>1995</v>
      </c>
      <c r="F90" s="408">
        <v>2063</v>
      </c>
      <c r="G90" s="408">
        <v>2128</v>
      </c>
      <c r="H90" s="408">
        <v>2192</v>
      </c>
      <c r="I90" s="408">
        <v>2254</v>
      </c>
      <c r="J90" s="408">
        <v>2315</v>
      </c>
      <c r="K90" s="408"/>
      <c r="L90" s="408"/>
      <c r="M90" s="408"/>
      <c r="N90" s="408"/>
      <c r="O90" s="408"/>
      <c r="P90" s="408"/>
      <c r="Q90" s="408"/>
      <c r="R90" s="408"/>
      <c r="S90" s="408"/>
      <c r="T90" s="488"/>
      <c r="U90" s="445"/>
      <c r="V90" s="487">
        <f t="shared" si="3"/>
        <v>9</v>
      </c>
    </row>
    <row r="91" spans="1:22" x14ac:dyDescent="0.2">
      <c r="A91" s="484">
        <v>4</v>
      </c>
      <c r="B91" s="445">
        <v>1715</v>
      </c>
      <c r="C91" s="408">
        <v>1784</v>
      </c>
      <c r="D91" s="408">
        <v>1853</v>
      </c>
      <c r="E91" s="408">
        <v>1939</v>
      </c>
      <c r="F91" s="408">
        <v>2063</v>
      </c>
      <c r="G91" s="408">
        <v>2128</v>
      </c>
      <c r="H91" s="408">
        <v>2192</v>
      </c>
      <c r="I91" s="408">
        <v>2254</v>
      </c>
      <c r="J91" s="408">
        <v>2315</v>
      </c>
      <c r="K91" s="408">
        <v>2374</v>
      </c>
      <c r="L91" s="408">
        <v>2434</v>
      </c>
      <c r="M91" s="408"/>
      <c r="N91" s="408"/>
      <c r="O91" s="408"/>
      <c r="P91" s="408"/>
      <c r="Q91" s="408"/>
      <c r="R91" s="408"/>
      <c r="S91" s="408"/>
      <c r="T91" s="488"/>
      <c r="U91" s="445"/>
      <c r="V91" s="487">
        <f t="shared" si="3"/>
        <v>11</v>
      </c>
    </row>
    <row r="92" spans="1:22" x14ac:dyDescent="0.2">
      <c r="A92" s="484">
        <v>5</v>
      </c>
      <c r="B92" s="408">
        <v>1750</v>
      </c>
      <c r="C92" s="408">
        <v>1784</v>
      </c>
      <c r="D92" s="408">
        <v>1890</v>
      </c>
      <c r="E92" s="408">
        <v>1995</v>
      </c>
      <c r="F92" s="408">
        <v>2128</v>
      </c>
      <c r="G92" s="408">
        <v>2192</v>
      </c>
      <c r="H92" s="408">
        <v>2254</v>
      </c>
      <c r="I92" s="408">
        <v>2315</v>
      </c>
      <c r="J92" s="408">
        <v>2374</v>
      </c>
      <c r="K92" s="408">
        <v>2434</v>
      </c>
      <c r="L92" s="408">
        <v>2491</v>
      </c>
      <c r="M92" s="408">
        <v>2557</v>
      </c>
      <c r="N92" s="408"/>
      <c r="O92" s="408"/>
      <c r="P92" s="408"/>
      <c r="Q92" s="408"/>
      <c r="R92" s="408"/>
      <c r="S92" s="408"/>
      <c r="T92" s="488"/>
      <c r="U92" s="445"/>
      <c r="V92" s="487">
        <f t="shared" si="3"/>
        <v>12</v>
      </c>
    </row>
    <row r="93" spans="1:22" x14ac:dyDescent="0.2">
      <c r="A93" s="484">
        <v>6</v>
      </c>
      <c r="B93" s="408">
        <v>1816</v>
      </c>
      <c r="C93" s="408">
        <v>1890</v>
      </c>
      <c r="D93" s="408">
        <v>2128</v>
      </c>
      <c r="E93" s="408">
        <v>2254</v>
      </c>
      <c r="F93" s="408">
        <v>2315</v>
      </c>
      <c r="G93" s="408">
        <v>2374</v>
      </c>
      <c r="H93" s="408">
        <v>2434</v>
      </c>
      <c r="I93" s="408">
        <v>2491</v>
      </c>
      <c r="J93" s="408">
        <v>2557</v>
      </c>
      <c r="K93" s="408">
        <v>2618</v>
      </c>
      <c r="L93" s="408">
        <v>2677</v>
      </c>
      <c r="M93" s="408"/>
      <c r="N93" s="408"/>
      <c r="O93" s="408"/>
      <c r="P93" s="408"/>
      <c r="Q93" s="408"/>
      <c r="R93" s="408"/>
      <c r="S93" s="408"/>
      <c r="T93" s="488"/>
      <c r="U93" s="445"/>
      <c r="V93" s="487">
        <f t="shared" si="3"/>
        <v>11</v>
      </c>
    </row>
    <row r="94" spans="1:22" x14ac:dyDescent="0.2">
      <c r="A94" s="484">
        <v>7</v>
      </c>
      <c r="B94" s="408">
        <v>1939</v>
      </c>
      <c r="C94" s="408">
        <v>1995</v>
      </c>
      <c r="D94" s="408">
        <v>2128</v>
      </c>
      <c r="E94" s="408">
        <v>2374</v>
      </c>
      <c r="F94" s="408">
        <v>2491</v>
      </c>
      <c r="G94" s="408">
        <v>2557</v>
      </c>
      <c r="H94" s="408">
        <v>2618</v>
      </c>
      <c r="I94" s="408">
        <v>2677</v>
      </c>
      <c r="J94" s="408">
        <v>2739</v>
      </c>
      <c r="K94" s="408">
        <v>2805</v>
      </c>
      <c r="L94" s="408">
        <v>2873</v>
      </c>
      <c r="M94" s="408">
        <v>2949</v>
      </c>
      <c r="N94" s="408"/>
      <c r="O94" s="408"/>
      <c r="P94" s="408"/>
      <c r="Q94" s="408"/>
      <c r="R94" s="408"/>
      <c r="S94" s="408"/>
      <c r="T94" s="488"/>
      <c r="U94" s="445"/>
      <c r="V94" s="487">
        <f t="shared" si="3"/>
        <v>12</v>
      </c>
    </row>
    <row r="95" spans="1:22" x14ac:dyDescent="0.2">
      <c r="A95" s="484">
        <v>8</v>
      </c>
      <c r="B95" s="408">
        <v>2192</v>
      </c>
      <c r="C95" s="408">
        <v>2254</v>
      </c>
      <c r="D95" s="408">
        <v>2374</v>
      </c>
      <c r="E95" s="408">
        <v>2618</v>
      </c>
      <c r="F95" s="408">
        <v>2739</v>
      </c>
      <c r="G95" s="408">
        <v>2873</v>
      </c>
      <c r="H95" s="408">
        <v>2949</v>
      </c>
      <c r="I95" s="408">
        <v>3018</v>
      </c>
      <c r="J95" s="408">
        <v>3080</v>
      </c>
      <c r="K95" s="408">
        <v>3146</v>
      </c>
      <c r="L95" s="408">
        <v>3212</v>
      </c>
      <c r="M95" s="408">
        <v>3273</v>
      </c>
      <c r="N95" s="408">
        <v>3331</v>
      </c>
      <c r="O95" s="408"/>
      <c r="P95" s="408"/>
      <c r="Q95" s="408"/>
      <c r="R95" s="408"/>
      <c r="S95" s="408"/>
      <c r="T95" s="488"/>
      <c r="U95" s="445"/>
      <c r="V95" s="487">
        <f t="shared" si="3"/>
        <v>13</v>
      </c>
    </row>
    <row r="96" spans="1:22" x14ac:dyDescent="0.2">
      <c r="A96" s="484">
        <v>9</v>
      </c>
      <c r="B96" s="408">
        <v>2534</v>
      </c>
      <c r="C96" s="408">
        <v>2661</v>
      </c>
      <c r="D96" s="408">
        <v>2919</v>
      </c>
      <c r="E96" s="408">
        <v>3066</v>
      </c>
      <c r="F96" s="408">
        <v>3193</v>
      </c>
      <c r="G96" s="408">
        <v>3323</v>
      </c>
      <c r="H96" s="408">
        <v>3445</v>
      </c>
      <c r="I96" s="408">
        <v>3567</v>
      </c>
      <c r="J96" s="408">
        <v>3700</v>
      </c>
      <c r="K96" s="408">
        <v>3817</v>
      </c>
      <c r="L96" s="408"/>
      <c r="M96" s="408"/>
      <c r="N96" s="408"/>
      <c r="O96" s="408"/>
      <c r="P96" s="408"/>
      <c r="Q96" s="408"/>
      <c r="R96" s="408"/>
      <c r="S96" s="408"/>
      <c r="T96" s="488"/>
      <c r="U96" s="445"/>
      <c r="V96" s="487">
        <f t="shared" si="3"/>
        <v>10</v>
      </c>
    </row>
    <row r="97" spans="1:22" x14ac:dyDescent="0.2">
      <c r="A97" s="484">
        <v>10</v>
      </c>
      <c r="B97" s="408">
        <v>2516</v>
      </c>
      <c r="C97" s="408">
        <v>2766</v>
      </c>
      <c r="D97" s="408">
        <v>2901</v>
      </c>
      <c r="E97" s="408">
        <v>3048</v>
      </c>
      <c r="F97" s="408">
        <v>3175</v>
      </c>
      <c r="G97" s="408">
        <v>3305</v>
      </c>
      <c r="H97" s="408">
        <v>3427</v>
      </c>
      <c r="I97" s="408">
        <v>3549</v>
      </c>
      <c r="J97" s="408">
        <v>3682</v>
      </c>
      <c r="K97" s="408">
        <v>3798</v>
      </c>
      <c r="L97" s="408">
        <v>3920</v>
      </c>
      <c r="M97" s="408">
        <v>4038</v>
      </c>
      <c r="N97" s="408">
        <v>4171</v>
      </c>
      <c r="O97" s="408"/>
      <c r="P97" s="408"/>
      <c r="Q97" s="408"/>
      <c r="R97" s="408"/>
      <c r="S97" s="408"/>
      <c r="T97" s="488"/>
      <c r="U97" s="445"/>
      <c r="V97" s="487">
        <f t="shared" si="3"/>
        <v>13</v>
      </c>
    </row>
    <row r="98" spans="1:22" x14ac:dyDescent="0.2">
      <c r="A98" s="484">
        <v>11</v>
      </c>
      <c r="B98" s="408">
        <v>2643</v>
      </c>
      <c r="C98" s="408">
        <v>2766</v>
      </c>
      <c r="D98" s="408">
        <v>2901</v>
      </c>
      <c r="E98" s="408">
        <v>3048</v>
      </c>
      <c r="F98" s="408">
        <v>3175</v>
      </c>
      <c r="G98" s="408">
        <v>3305</v>
      </c>
      <c r="H98" s="408">
        <v>3427</v>
      </c>
      <c r="I98" s="408">
        <v>3682</v>
      </c>
      <c r="J98" s="408">
        <v>3796</v>
      </c>
      <c r="K98" s="408">
        <v>3920</v>
      </c>
      <c r="L98" s="408">
        <v>4038</v>
      </c>
      <c r="M98" s="408">
        <v>4171</v>
      </c>
      <c r="N98" s="408">
        <v>4302</v>
      </c>
      <c r="O98" s="408">
        <v>4431</v>
      </c>
      <c r="P98" s="408">
        <v>4553</v>
      </c>
      <c r="Q98" s="408">
        <v>4678</v>
      </c>
      <c r="R98" s="408">
        <v>4796</v>
      </c>
      <c r="S98" s="408">
        <v>4861</v>
      </c>
      <c r="T98" s="488"/>
      <c r="U98" s="445"/>
      <c r="V98" s="487">
        <f t="shared" si="3"/>
        <v>18</v>
      </c>
    </row>
    <row r="99" spans="1:22" x14ac:dyDescent="0.2">
      <c r="A99" s="484">
        <v>12</v>
      </c>
      <c r="B99" s="408">
        <v>3549</v>
      </c>
      <c r="C99" s="408">
        <v>3682</v>
      </c>
      <c r="D99" s="408">
        <v>3796</v>
      </c>
      <c r="E99" s="408">
        <v>3920</v>
      </c>
      <c r="F99" s="408">
        <v>4038</v>
      </c>
      <c r="G99" s="408">
        <v>4171</v>
      </c>
      <c r="H99" s="408">
        <v>4431</v>
      </c>
      <c r="I99" s="408">
        <v>4553</v>
      </c>
      <c r="J99" s="408">
        <v>4678</v>
      </c>
      <c r="K99" s="408">
        <v>4796</v>
      </c>
      <c r="L99" s="408">
        <v>4925</v>
      </c>
      <c r="M99" s="408">
        <v>5050</v>
      </c>
      <c r="N99" s="408">
        <v>5169</v>
      </c>
      <c r="O99" s="408">
        <v>5294</v>
      </c>
      <c r="P99" s="408">
        <v>5448</v>
      </c>
      <c r="Q99" s="408">
        <v>5527</v>
      </c>
      <c r="R99" s="408"/>
      <c r="S99" s="408"/>
      <c r="T99" s="488"/>
      <c r="U99" s="445"/>
      <c r="V99" s="487">
        <f t="shared" si="3"/>
        <v>16</v>
      </c>
    </row>
    <row r="100" spans="1:22" x14ac:dyDescent="0.2">
      <c r="A100" s="484">
        <v>13</v>
      </c>
      <c r="B100" s="408">
        <v>4302</v>
      </c>
      <c r="C100" s="408">
        <v>4431</v>
      </c>
      <c r="D100" s="408">
        <v>4553</v>
      </c>
      <c r="E100" s="408">
        <v>4678</v>
      </c>
      <c r="F100" s="408">
        <v>4796</v>
      </c>
      <c r="G100" s="408">
        <v>5050</v>
      </c>
      <c r="H100" s="408">
        <v>5169</v>
      </c>
      <c r="I100" s="408">
        <v>5294</v>
      </c>
      <c r="J100" s="408">
        <v>5448</v>
      </c>
      <c r="K100" s="408">
        <v>5604</v>
      </c>
      <c r="L100" s="408">
        <v>5760</v>
      </c>
      <c r="M100" s="408">
        <v>5914</v>
      </c>
      <c r="N100" s="408">
        <v>5990</v>
      </c>
      <c r="O100" s="408"/>
      <c r="P100" s="408"/>
      <c r="Q100" s="408"/>
      <c r="R100" s="408"/>
      <c r="S100" s="408"/>
      <c r="T100" s="488"/>
      <c r="U100" s="445"/>
      <c r="V100" s="487">
        <f t="shared" si="3"/>
        <v>13</v>
      </c>
    </row>
    <row r="101" spans="1:22" x14ac:dyDescent="0.2">
      <c r="A101" s="484">
        <v>14</v>
      </c>
      <c r="B101" s="408">
        <v>4925</v>
      </c>
      <c r="C101" s="408">
        <v>5050</v>
      </c>
      <c r="D101" s="408">
        <v>5294</v>
      </c>
      <c r="E101" s="408">
        <v>5448</v>
      </c>
      <c r="F101" s="408">
        <v>5604</v>
      </c>
      <c r="G101" s="408">
        <v>5760</v>
      </c>
      <c r="H101" s="408">
        <v>5914</v>
      </c>
      <c r="I101" s="408">
        <v>6071</v>
      </c>
      <c r="J101" s="408">
        <v>6237</v>
      </c>
      <c r="K101" s="408">
        <v>6404</v>
      </c>
      <c r="L101" s="408">
        <v>6578</v>
      </c>
      <c r="M101" s="408"/>
      <c r="N101" s="408"/>
      <c r="O101" s="408"/>
      <c r="P101" s="408"/>
      <c r="Q101" s="408"/>
      <c r="R101" s="408"/>
      <c r="S101" s="408"/>
      <c r="T101" s="488"/>
      <c r="U101" s="445"/>
      <c r="V101" s="487">
        <f t="shared" si="3"/>
        <v>11</v>
      </c>
    </row>
    <row r="102" spans="1:22" x14ac:dyDescent="0.2">
      <c r="A102" s="484">
        <v>15</v>
      </c>
      <c r="B102" s="408">
        <v>5169</v>
      </c>
      <c r="C102" s="408">
        <v>5294</v>
      </c>
      <c r="D102" s="408">
        <v>5448</v>
      </c>
      <c r="E102" s="408">
        <v>5760</v>
      </c>
      <c r="F102" s="408">
        <v>5914</v>
      </c>
      <c r="G102" s="408">
        <v>6071</v>
      </c>
      <c r="H102" s="408">
        <v>6237</v>
      </c>
      <c r="I102" s="408">
        <v>6404</v>
      </c>
      <c r="J102" s="408">
        <v>6578</v>
      </c>
      <c r="K102" s="408">
        <v>6785</v>
      </c>
      <c r="L102" s="408">
        <v>7003</v>
      </c>
      <c r="M102" s="408">
        <v>7225</v>
      </c>
      <c r="N102" s="408"/>
      <c r="O102" s="408"/>
      <c r="P102" s="408"/>
      <c r="Q102" s="408"/>
      <c r="R102" s="408"/>
      <c r="S102" s="408"/>
      <c r="T102" s="492"/>
      <c r="U102" s="493"/>
      <c r="V102" s="487">
        <f t="shared" si="3"/>
        <v>12</v>
      </c>
    </row>
    <row r="103" spans="1:22" x14ac:dyDescent="0.2">
      <c r="A103" s="484">
        <v>16</v>
      </c>
      <c r="B103" s="408">
        <v>5604</v>
      </c>
      <c r="C103" s="408">
        <v>5760</v>
      </c>
      <c r="D103" s="408">
        <v>5914</v>
      </c>
      <c r="E103" s="408">
        <v>6237</v>
      </c>
      <c r="F103" s="408">
        <v>6404</v>
      </c>
      <c r="G103" s="408">
        <v>6578</v>
      </c>
      <c r="H103" s="408">
        <v>6785</v>
      </c>
      <c r="I103" s="408">
        <v>7003</v>
      </c>
      <c r="J103" s="408">
        <v>7225</v>
      </c>
      <c r="K103" s="408">
        <v>7455</v>
      </c>
      <c r="L103" s="408">
        <v>7689</v>
      </c>
      <c r="M103" s="408">
        <v>7934</v>
      </c>
      <c r="N103" s="408"/>
      <c r="O103" s="408"/>
      <c r="P103" s="408"/>
      <c r="Q103" s="408"/>
      <c r="R103" s="408"/>
      <c r="S103" s="408"/>
      <c r="T103" s="492"/>
      <c r="U103" s="493"/>
      <c r="V103" s="487">
        <f t="shared" si="3"/>
        <v>12</v>
      </c>
    </row>
    <row r="105" spans="1:22" s="43" customFormat="1" x14ac:dyDescent="0.2">
      <c r="A105" s="45" t="s">
        <v>38</v>
      </c>
    </row>
    <row r="106" spans="1:22" s="43" customFormat="1" x14ac:dyDescent="0.2">
      <c r="A106" s="45"/>
      <c r="B106" s="45"/>
      <c r="C106" s="43" t="s">
        <v>35</v>
      </c>
      <c r="D106" s="43" t="s">
        <v>36</v>
      </c>
      <c r="E106" s="43" t="s">
        <v>85</v>
      </c>
      <c r="F106" s="43" t="s">
        <v>86</v>
      </c>
      <c r="G106" s="43" t="s">
        <v>39</v>
      </c>
      <c r="H106" s="43" t="s">
        <v>41</v>
      </c>
      <c r="K106" s="52"/>
    </row>
    <row r="107" spans="1:22" s="43" customFormat="1" x14ac:dyDescent="0.2">
      <c r="A107" s="43" t="s">
        <v>34</v>
      </c>
      <c r="B107" s="46">
        <v>1</v>
      </c>
      <c r="C107" s="464">
        <v>0.17430000000000001</v>
      </c>
      <c r="D107" s="465">
        <v>7.4700000000000003E-2</v>
      </c>
      <c r="E107" s="449">
        <v>14200</v>
      </c>
      <c r="F107" s="49">
        <f>+E107/12</f>
        <v>1183.3333333333333</v>
      </c>
      <c r="J107" s="58"/>
      <c r="L107" s="58"/>
      <c r="M107" s="58"/>
      <c r="N107" s="58"/>
    </row>
    <row r="108" spans="1:22" s="43" customFormat="1" x14ac:dyDescent="0.2">
      <c r="A108" s="419" t="s">
        <v>201</v>
      </c>
      <c r="B108" s="46">
        <v>2</v>
      </c>
      <c r="C108" s="465">
        <v>6.3E-3</v>
      </c>
      <c r="D108" s="465">
        <v>2.7000000000000001E-3</v>
      </c>
      <c r="E108" s="449">
        <v>21400</v>
      </c>
      <c r="F108" s="49">
        <f>+E108/12</f>
        <v>1783.3333333333333</v>
      </c>
    </row>
    <row r="109" spans="1:22" s="43" customFormat="1" x14ac:dyDescent="0.2">
      <c r="A109" s="43" t="s">
        <v>264</v>
      </c>
      <c r="B109" s="46">
        <v>3</v>
      </c>
      <c r="C109" s="464">
        <v>2.5999999999999999E-2</v>
      </c>
      <c r="D109" s="464">
        <v>0</v>
      </c>
      <c r="E109" s="466"/>
      <c r="F109" s="51"/>
    </row>
    <row r="110" spans="1:22" s="43" customFormat="1" x14ac:dyDescent="0.2">
      <c r="A110" s="421" t="s">
        <v>278</v>
      </c>
      <c r="B110" s="43">
        <v>4</v>
      </c>
      <c r="C110" s="467">
        <v>7.2700000000000001E-2</v>
      </c>
      <c r="D110" s="468"/>
      <c r="E110" s="468"/>
      <c r="F110" s="468"/>
      <c r="G110" s="469">
        <v>57214</v>
      </c>
      <c r="H110" s="49">
        <f>+G110/12-0.01</f>
        <v>4767.8233333333328</v>
      </c>
    </row>
    <row r="111" spans="1:22" s="43" customFormat="1" x14ac:dyDescent="0.2">
      <c r="A111" s="421" t="s">
        <v>316</v>
      </c>
      <c r="B111" s="43">
        <v>5</v>
      </c>
      <c r="C111" s="467">
        <v>1.2E-2</v>
      </c>
      <c r="D111" s="468"/>
      <c r="E111" s="468"/>
      <c r="F111" s="470"/>
      <c r="G111" s="471">
        <f>+G110</f>
        <v>57214</v>
      </c>
      <c r="H111" s="49">
        <f>+G111/12-0.01</f>
        <v>4767.8233333333328</v>
      </c>
    </row>
    <row r="112" spans="1:22" s="43" customFormat="1" x14ac:dyDescent="0.2">
      <c r="A112" s="46" t="s">
        <v>82</v>
      </c>
      <c r="B112" s="43">
        <v>8</v>
      </c>
      <c r="C112" s="464">
        <v>6.7000000000000004E-2</v>
      </c>
      <c r="D112" s="472"/>
      <c r="E112" s="466"/>
      <c r="F112" s="466"/>
      <c r="G112" s="471">
        <f>+G110</f>
        <v>57214</v>
      </c>
      <c r="H112" s="49">
        <f t="shared" ref="H112:H113" si="5">+G112/12-0.01</f>
        <v>4767.8233333333328</v>
      </c>
    </row>
    <row r="113" spans="1:12" s="43" customFormat="1" x14ac:dyDescent="0.2">
      <c r="A113" s="421" t="s">
        <v>279</v>
      </c>
      <c r="B113" s="43">
        <v>9</v>
      </c>
      <c r="C113" s="464">
        <v>6.7999999999999996E-3</v>
      </c>
      <c r="D113" s="468"/>
      <c r="E113" s="468"/>
      <c r="F113" s="470"/>
      <c r="G113" s="471">
        <f>+G110</f>
        <v>57214</v>
      </c>
      <c r="H113" s="49">
        <f t="shared" si="5"/>
        <v>4767.8233333333328</v>
      </c>
    </row>
    <row r="114" spans="1:12" s="43" customFormat="1" x14ac:dyDescent="0.2">
      <c r="A114" s="419" t="s">
        <v>202</v>
      </c>
      <c r="B114" s="419">
        <v>10</v>
      </c>
      <c r="C114" s="464">
        <v>6.0999999999999999E-2</v>
      </c>
      <c r="D114" s="473" t="s">
        <v>259</v>
      </c>
      <c r="E114" s="468"/>
      <c r="F114" s="468"/>
      <c r="G114" s="466"/>
      <c r="H114" s="51"/>
    </row>
    <row r="115" spans="1:12" s="43" customFormat="1" x14ac:dyDescent="0.2">
      <c r="A115" s="419" t="s">
        <v>203</v>
      </c>
      <c r="B115" s="419"/>
      <c r="C115" s="464">
        <v>6.0999999999999999E-2</v>
      </c>
      <c r="D115" s="473" t="s">
        <v>260</v>
      </c>
      <c r="E115" s="468"/>
      <c r="F115" s="468"/>
      <c r="G115" s="474"/>
      <c r="H115" s="51"/>
    </row>
    <row r="116" spans="1:12" s="43" customFormat="1" x14ac:dyDescent="0.2">
      <c r="A116" s="419" t="s">
        <v>309</v>
      </c>
      <c r="B116" s="419"/>
      <c r="C116" s="464">
        <v>1.5E-3</v>
      </c>
      <c r="D116" s="473" t="s">
        <v>261</v>
      </c>
      <c r="E116" s="468"/>
      <c r="F116" s="468"/>
      <c r="G116" s="474"/>
      <c r="H116" s="51"/>
    </row>
    <row r="117" spans="1:12" s="43" customFormat="1" x14ac:dyDescent="0.2">
      <c r="A117" s="419" t="s">
        <v>255</v>
      </c>
      <c r="B117" s="419"/>
      <c r="C117" s="464">
        <v>0</v>
      </c>
      <c r="D117" s="473" t="s">
        <v>262</v>
      </c>
      <c r="E117" s="468"/>
      <c r="F117" s="468"/>
      <c r="G117" s="474"/>
      <c r="H117" s="51"/>
      <c r="L117" s="419"/>
    </row>
    <row r="118" spans="1:12" s="43" customFormat="1" x14ac:dyDescent="0.2">
      <c r="A118" s="419" t="s">
        <v>67</v>
      </c>
      <c r="B118" s="419">
        <v>11</v>
      </c>
      <c r="C118" s="464">
        <v>4.2000000000000003E-2</v>
      </c>
      <c r="D118" s="468"/>
      <c r="E118" s="468"/>
      <c r="F118" s="468"/>
      <c r="G118" s="474"/>
      <c r="H118" s="51"/>
    </row>
    <row r="119" spans="1:12" s="43" customFormat="1" x14ac:dyDescent="0.2">
      <c r="B119" s="43" t="s">
        <v>196</v>
      </c>
      <c r="C119" s="53">
        <f>SUM(C107:C114)+C118</f>
        <v>0.46809999999999996</v>
      </c>
      <c r="D119" s="53">
        <f>SUM(D107:D118)</f>
        <v>7.7399999999999997E-2</v>
      </c>
      <c r="E119" s="53">
        <f>SUM(C119:D119)</f>
        <v>0.54549999999999998</v>
      </c>
    </row>
    <row r="120" spans="1:12" s="43" customFormat="1" x14ac:dyDescent="0.2"/>
    <row r="121" spans="1:12" s="43" customFormat="1" ht="13.5" customHeight="1" x14ac:dyDescent="0.2">
      <c r="A121" s="459" t="s">
        <v>312</v>
      </c>
      <c r="B121" s="460"/>
    </row>
    <row r="122" spans="1:12" s="43" customFormat="1" x14ac:dyDescent="0.2">
      <c r="A122" s="452" t="s">
        <v>304</v>
      </c>
      <c r="B122" s="475">
        <v>1.5E-3</v>
      </c>
    </row>
    <row r="123" spans="1:12" s="43" customFormat="1" x14ac:dyDescent="0.2">
      <c r="A123" s="452" t="s">
        <v>305</v>
      </c>
      <c r="B123" s="475">
        <v>3.7999999999999999E-2</v>
      </c>
      <c r="C123" s="473" t="s">
        <v>363</v>
      </c>
    </row>
    <row r="124" spans="1:12" s="43" customFormat="1" x14ac:dyDescent="0.2">
      <c r="A124" s="453" t="s">
        <v>306</v>
      </c>
      <c r="B124" s="475">
        <v>3.2000000000000001E-2</v>
      </c>
      <c r="C124" s="473" t="s">
        <v>364</v>
      </c>
    </row>
    <row r="125" spans="1:12" s="43" customFormat="1" x14ac:dyDescent="0.2">
      <c r="A125" s="453" t="s">
        <v>307</v>
      </c>
      <c r="B125" s="475">
        <v>8.0000000000000002E-3</v>
      </c>
      <c r="C125" s="473" t="s">
        <v>365</v>
      </c>
    </row>
    <row r="126" spans="1:12" s="43" customFormat="1" x14ac:dyDescent="0.2">
      <c r="A126" s="453" t="s">
        <v>308</v>
      </c>
      <c r="B126" s="475">
        <v>5.0000000000000001E-3</v>
      </c>
      <c r="C126" s="473" t="s">
        <v>366</v>
      </c>
    </row>
    <row r="127" spans="1:12" s="43" customFormat="1" x14ac:dyDescent="0.2"/>
    <row r="128" spans="1:12" s="43" customFormat="1" x14ac:dyDescent="0.2">
      <c r="A128" s="421" t="s">
        <v>273</v>
      </c>
      <c r="B128" s="446">
        <v>0.6</v>
      </c>
      <c r="C128" s="54"/>
    </row>
    <row r="129" spans="1:7" s="43" customFormat="1" x14ac:dyDescent="0.2"/>
    <row r="130" spans="1:7" s="43" customFormat="1" x14ac:dyDescent="0.2">
      <c r="A130" s="45" t="s">
        <v>61</v>
      </c>
      <c r="B130" s="474" t="s">
        <v>327</v>
      </c>
      <c r="C130" s="476">
        <v>33.31</v>
      </c>
      <c r="G130" s="415"/>
    </row>
    <row r="131" spans="1:7" s="43" customFormat="1" x14ac:dyDescent="0.2">
      <c r="B131" s="474" t="s">
        <v>328</v>
      </c>
      <c r="C131" s="476">
        <v>29.22</v>
      </c>
    </row>
    <row r="132" spans="1:7" s="43" customFormat="1" x14ac:dyDescent="0.2">
      <c r="B132" s="474" t="s">
        <v>329</v>
      </c>
      <c r="C132" s="476">
        <v>53.21</v>
      </c>
    </row>
    <row r="133" spans="1:7" s="43" customFormat="1" x14ac:dyDescent="0.2">
      <c r="B133" s="474" t="s">
        <v>330</v>
      </c>
      <c r="C133" s="476">
        <v>26.32</v>
      </c>
    </row>
    <row r="134" spans="1:7" s="43" customFormat="1" x14ac:dyDescent="0.2">
      <c r="B134" s="474" t="s">
        <v>331</v>
      </c>
      <c r="C134" s="476">
        <v>0</v>
      </c>
    </row>
    <row r="135" spans="1:7" s="43" customFormat="1" x14ac:dyDescent="0.2">
      <c r="B135" s="474"/>
      <c r="C135" s="477"/>
    </row>
    <row r="136" spans="1:7" s="43" customFormat="1" x14ac:dyDescent="0.2">
      <c r="A136" s="478" t="s">
        <v>94</v>
      </c>
      <c r="B136" s="474"/>
      <c r="C136" s="479">
        <v>35.33</v>
      </c>
      <c r="D136" s="55"/>
    </row>
    <row r="137" spans="1:7" s="43" customFormat="1" x14ac:dyDescent="0.2"/>
    <row r="138" spans="1:7" s="43" customFormat="1" x14ac:dyDescent="0.2">
      <c r="A138" s="45" t="s">
        <v>204</v>
      </c>
      <c r="C138" s="50">
        <v>8.0000000000000002E-3</v>
      </c>
      <c r="D138" s="53"/>
    </row>
    <row r="139" spans="1:7" s="43" customFormat="1" x14ac:dyDescent="0.2"/>
    <row r="140" spans="1:7" s="43" customFormat="1" x14ac:dyDescent="0.2">
      <c r="A140" s="461" t="s">
        <v>356</v>
      </c>
      <c r="C140" s="462">
        <v>875</v>
      </c>
    </row>
    <row r="141" spans="1:7" s="43" customFormat="1" x14ac:dyDescent="0.2">
      <c r="A141" s="461" t="s">
        <v>357</v>
      </c>
      <c r="C141" s="529">
        <v>0.33</v>
      </c>
    </row>
    <row r="142" spans="1:7" s="43" customFormat="1" x14ac:dyDescent="0.2"/>
    <row r="143" spans="1:7" s="43" customFormat="1" x14ac:dyDescent="0.2">
      <c r="A143" s="45" t="s">
        <v>70</v>
      </c>
      <c r="B143" s="45"/>
      <c r="D143" s="476">
        <v>160.05000000000001</v>
      </c>
      <c r="E143" s="43" t="s">
        <v>216</v>
      </c>
    </row>
    <row r="144" spans="1:7" s="43" customFormat="1" x14ac:dyDescent="0.2">
      <c r="A144" s="45" t="s">
        <v>68</v>
      </c>
      <c r="B144" s="45"/>
      <c r="D144" s="464">
        <v>6.3E-2</v>
      </c>
    </row>
    <row r="145" spans="1:8" s="43" customFormat="1" x14ac:dyDescent="0.2">
      <c r="A145" s="43" t="s">
        <v>96</v>
      </c>
      <c r="B145" s="45"/>
      <c r="C145" s="43">
        <v>0</v>
      </c>
      <c r="D145" s="476">
        <v>0</v>
      </c>
      <c r="G145" s="47"/>
      <c r="H145" s="47"/>
    </row>
    <row r="146" spans="1:8" s="43" customFormat="1" x14ac:dyDescent="0.2">
      <c r="B146" s="45"/>
      <c r="C146" s="43">
        <v>1</v>
      </c>
      <c r="D146" s="476">
        <v>1219.3</v>
      </c>
      <c r="G146" s="47"/>
      <c r="H146" s="47"/>
    </row>
    <row r="147" spans="1:8" s="43" customFormat="1" x14ac:dyDescent="0.2">
      <c r="B147" s="45"/>
      <c r="C147" s="43">
        <v>6</v>
      </c>
      <c r="D147" s="476">
        <v>1168.03</v>
      </c>
      <c r="G147" s="47"/>
      <c r="H147" s="47"/>
    </row>
    <row r="148" spans="1:8" s="43" customFormat="1" x14ac:dyDescent="0.2">
      <c r="B148" s="45"/>
      <c r="C148" s="43">
        <v>9</v>
      </c>
      <c r="D148" s="476">
        <v>0</v>
      </c>
      <c r="G148" s="47"/>
      <c r="H148" s="47"/>
    </row>
    <row r="149" spans="1:8" s="43" customFormat="1" x14ac:dyDescent="0.2">
      <c r="B149" s="45"/>
      <c r="D149" s="44"/>
      <c r="G149" s="47"/>
      <c r="H149" s="47"/>
    </row>
    <row r="150" spans="1:8" s="43" customFormat="1" x14ac:dyDescent="0.2">
      <c r="A150" s="443" t="s">
        <v>200</v>
      </c>
      <c r="B150" s="436"/>
      <c r="C150" s="438"/>
      <c r="D150" s="437">
        <v>200</v>
      </c>
      <c r="E150" s="47"/>
      <c r="F150" s="47"/>
    </row>
    <row r="151" spans="1:8" s="43" customFormat="1" x14ac:dyDescent="0.2"/>
    <row r="152" spans="1:8" s="43" customFormat="1" x14ac:dyDescent="0.2">
      <c r="A152" s="45" t="s">
        <v>213</v>
      </c>
      <c r="D152" s="476">
        <v>339.49</v>
      </c>
    </row>
    <row r="153" spans="1:8" s="43" customFormat="1" x14ac:dyDescent="0.2"/>
    <row r="154" spans="1:8" s="43" customFormat="1" x14ac:dyDescent="0.2">
      <c r="A154" s="434" t="s">
        <v>332</v>
      </c>
    </row>
    <row r="155" spans="1:8" s="43" customFormat="1" x14ac:dyDescent="0.2">
      <c r="A155" s="434" t="s">
        <v>344</v>
      </c>
    </row>
    <row r="156" spans="1:8" s="43" customFormat="1" x14ac:dyDescent="0.2">
      <c r="A156" s="56" t="s">
        <v>87</v>
      </c>
    </row>
    <row r="157" spans="1:8" s="43" customFormat="1" x14ac:dyDescent="0.2">
      <c r="A157" s="56"/>
    </row>
    <row r="158" spans="1:8" s="43" customFormat="1" x14ac:dyDescent="0.2">
      <c r="A158" s="45" t="s">
        <v>194</v>
      </c>
      <c r="G158" s="57"/>
    </row>
    <row r="159" spans="1:8" s="43" customFormat="1" x14ac:dyDescent="0.2">
      <c r="A159" s="45" t="s">
        <v>88</v>
      </c>
      <c r="B159" s="474" t="s">
        <v>195</v>
      </c>
      <c r="C159" s="474" t="s">
        <v>89</v>
      </c>
    </row>
    <row r="160" spans="1:8" s="43" customFormat="1" x14ac:dyDescent="0.2">
      <c r="A160" s="43">
        <v>1</v>
      </c>
      <c r="B160" s="480">
        <v>20384</v>
      </c>
      <c r="C160" s="481">
        <v>0.36649999999999999</v>
      </c>
    </row>
    <row r="161" spans="1:3" s="43" customFormat="1" x14ac:dyDescent="0.2">
      <c r="A161" s="43">
        <v>2</v>
      </c>
      <c r="B161" s="480">
        <v>34300</v>
      </c>
      <c r="C161" s="481">
        <v>0.38100000000000001</v>
      </c>
    </row>
    <row r="162" spans="1:3" s="43" customFormat="1" x14ac:dyDescent="0.2">
      <c r="A162" s="43">
        <v>3</v>
      </c>
      <c r="B162" s="480">
        <v>68507</v>
      </c>
      <c r="C162" s="481">
        <v>0.38100000000000001</v>
      </c>
    </row>
    <row r="163" spans="1:3" s="43" customFormat="1" x14ac:dyDescent="0.2">
      <c r="A163" s="43">
        <v>4</v>
      </c>
      <c r="B163" s="480">
        <v>999999</v>
      </c>
      <c r="C163" s="481">
        <v>0.51749999999999996</v>
      </c>
    </row>
    <row r="164" spans="1:3" s="43" customFormat="1" x14ac:dyDescent="0.2"/>
  </sheetData>
  <mergeCells count="2">
    <mergeCell ref="B5:C5"/>
    <mergeCell ref="B50:C50"/>
  </mergeCells>
  <phoneticPr fontId="0" type="noConversion"/>
  <printOptions gridLines="1"/>
  <pageMargins left="0.74803149606299213" right="0.74803149606299213" top="0.98425196850393704" bottom="0.98425196850393704" header="0.51181102362204722" footer="0.51181102362204722"/>
  <pageSetup paperSize="9" scale="81" orientation="portrait" r:id="rId1"/>
  <headerFooter alignWithMargins="0">
    <oddHeader>&amp;L&amp;"Arial,Vet"&amp;A&amp;C&amp;"Arial,Vet"&amp;D&amp;R&amp;"Arial,Vet"&amp;F</oddHeader>
    <oddFooter>&amp;L&amp;"Arial,Vet"&amp;8gemaakt door Keizer voor VOSABB&amp;R&amp;"Arial,Vet"&amp;P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11</vt:i4>
      </vt:variant>
    </vt:vector>
  </HeadingPairs>
  <TitlesOfParts>
    <vt:vector size="17" baseType="lpstr">
      <vt:lpstr>Toelichting</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eindejaarsuitkering_OOP</vt:lpstr>
      <vt:lpstr>premies</vt:lpstr>
      <vt:lpstr>salaris2019</vt:lpstr>
      <vt:lpstr>salaris2020</vt:lpstr>
      <vt:lpstr>uitlooptoeslag</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B Keizer</cp:lastModifiedBy>
  <cp:lastPrinted>2020-04-21T14:49:10Z</cp:lastPrinted>
  <dcterms:created xsi:type="dcterms:W3CDTF">2002-04-23T20:54:25Z</dcterms:created>
  <dcterms:modified xsi:type="dcterms:W3CDTF">2020-10-04T13:13:34Z</dcterms:modified>
</cp:coreProperties>
</file>